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ldx" ContentType="application/vnd.openxmlformats-officedocument.presentationml.slide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/>
  <bookViews>
    <workbookView xWindow="-120" yWindow="-120" windowWidth="23256" windowHeight="13176" tabRatio="884" firstSheet="1" activeTab="1"/>
  </bookViews>
  <sheets>
    <sheet name="Orientações Iniciais" sheetId="35" r:id="rId1"/>
    <sheet name="Mapa Estratégico e ODS" sheetId="36" r:id="rId2"/>
    <sheet name="Indicadores e Metas" sheetId="39" r:id="rId3"/>
    <sheet name="Quadro Geral" sheetId="15" r:id="rId4"/>
    <sheet name="Anexo 1. Fontes e Aplicações" sheetId="8" r:id="rId5"/>
    <sheet name="Anexo 2. Limites Estratégicos" sheetId="23" r:id="rId6"/>
    <sheet name="Anexo 3. Elemento de Despesas" sheetId="18" r:id="rId7"/>
    <sheet name="CPFi" sheetId="42" r:id="rId8"/>
    <sheet name="COA" sheetId="43" r:id="rId9"/>
    <sheet name="CED" sheetId="44" r:id="rId10"/>
    <sheet name="CEF" sheetId="45" r:id="rId11"/>
    <sheet name="CEP" sheetId="46" r:id="rId12"/>
    <sheet name="CPUA" sheetId="47" r:id="rId13"/>
    <sheet name="CEAU" sheetId="48" r:id="rId14"/>
    <sheet name="CPC" sheetId="49" r:id="rId15"/>
    <sheet name="Presidência" sheetId="50" r:id="rId16"/>
    <sheet name="Gabinete da Presidência" sheetId="51" r:id="rId17"/>
    <sheet name="Secretaria Geral da Mesa" sheetId="52" r:id="rId18"/>
    <sheet name="Gerência Geral" sheetId="53" r:id="rId19"/>
    <sheet name="Gerência Administrativa" sheetId="54" r:id="rId20"/>
    <sheet name="Gerência de Fiscalização" sheetId="55" r:id="rId21"/>
    <sheet name="Gerência de Atendimento" sheetId="56" r:id="rId22"/>
    <sheet name="Gerência Financeira" sheetId="57" r:id="rId23"/>
    <sheet name="Gerência Jurídica" sheetId="58" r:id="rId24"/>
    <sheet name="Gerência de Planejamento" sheetId="61" r:id="rId25"/>
    <sheet name="Gerência de Comunicação" sheetId="59" r:id="rId26"/>
    <sheet name="Gerência Adm. e Financ." sheetId="60" r:id="rId27"/>
    <sheet name="Validação de dados" sheetId="31" state="hidden" r:id="rId28"/>
    <sheet name="Diretrizes - Resumo" sheetId="40" state="hidden" r:id="rId29"/>
    <sheet name="Matriz de Obj. Estrat." sheetId="41" state="hidden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xlfn_IFERROR">#N/A</definedName>
    <definedName name="_xlnm._FilterDatabase" localSheetId="28" hidden="1">'Diretrizes - Resumo'!$A$3:$V$30</definedName>
    <definedName name="_xlnm._FilterDatabase" localSheetId="2" hidden="1">'Indicadores e Metas'!$A$30:$R$102</definedName>
    <definedName name="_xlnm._FilterDatabase" localSheetId="3" hidden="1">'Quadro Geral'!$A$6:$K$66</definedName>
    <definedName name="A" localSheetId="13">#REF!</definedName>
    <definedName name="A" localSheetId="9">#REF!</definedName>
    <definedName name="A" localSheetId="10">#REF!</definedName>
    <definedName name="A" localSheetId="11">#REF!</definedName>
    <definedName name="A" localSheetId="8">#REF!</definedName>
    <definedName name="A" localSheetId="14">#REF!</definedName>
    <definedName name="A" localSheetId="7">#REF!</definedName>
    <definedName name="A" localSheetId="12">#REF!</definedName>
    <definedName name="A" localSheetId="28">#REF!</definedName>
    <definedName name="A" localSheetId="16">#REF!</definedName>
    <definedName name="A" localSheetId="26">#REF!</definedName>
    <definedName name="A" localSheetId="19">#REF!</definedName>
    <definedName name="A" localSheetId="21">#REF!</definedName>
    <definedName name="A" localSheetId="25">#REF!</definedName>
    <definedName name="A" localSheetId="20">#REF!</definedName>
    <definedName name="A" localSheetId="24">#REF!</definedName>
    <definedName name="A" localSheetId="22">#REF!</definedName>
    <definedName name="A" localSheetId="18">#REF!</definedName>
    <definedName name="A" localSheetId="23">#REF!</definedName>
    <definedName name="A" localSheetId="2">#REF!</definedName>
    <definedName name="A" localSheetId="29">#REF!</definedName>
    <definedName name="A" localSheetId="0">#REF!</definedName>
    <definedName name="A" localSheetId="15">#REF!</definedName>
    <definedName name="A" localSheetId="3">#REF!</definedName>
    <definedName name="A" localSheetId="17">#REF!</definedName>
    <definedName name="A">#REF!</definedName>
    <definedName name="Anexo" localSheetId="13">#REF!</definedName>
    <definedName name="Anexo" localSheetId="9">#REF!</definedName>
    <definedName name="Anexo" localSheetId="10">#REF!</definedName>
    <definedName name="Anexo" localSheetId="11">#REF!</definedName>
    <definedName name="Anexo" localSheetId="8">#REF!</definedName>
    <definedName name="Anexo" localSheetId="14">#REF!</definedName>
    <definedName name="Anexo" localSheetId="7">#REF!</definedName>
    <definedName name="Anexo" localSheetId="12">#REF!</definedName>
    <definedName name="Anexo" localSheetId="16">#REF!</definedName>
    <definedName name="Anexo" localSheetId="26">#REF!</definedName>
    <definedName name="Anexo" localSheetId="19">#REF!</definedName>
    <definedName name="Anexo" localSheetId="21">#REF!</definedName>
    <definedName name="Anexo" localSheetId="25">#REF!</definedName>
    <definedName name="Anexo" localSheetId="20">#REF!</definedName>
    <definedName name="Anexo" localSheetId="24">#REF!</definedName>
    <definedName name="Anexo" localSheetId="22">#REF!</definedName>
    <definedName name="Anexo" localSheetId="18">#REF!</definedName>
    <definedName name="Anexo" localSheetId="23">#REF!</definedName>
    <definedName name="Anexo" localSheetId="2">#REF!</definedName>
    <definedName name="Anexo" localSheetId="29">#REF!</definedName>
    <definedName name="Anexo" localSheetId="15">#REF!</definedName>
    <definedName name="Anexo" localSheetId="17">#REF!</definedName>
    <definedName name="Anexo">#REF!</definedName>
    <definedName name="Anexo_1.4.4" localSheetId="13">#REF!</definedName>
    <definedName name="Anexo_1.4.4" localSheetId="9">#REF!</definedName>
    <definedName name="Anexo_1.4.4" localSheetId="10">#REF!</definedName>
    <definedName name="Anexo_1.4.4" localSheetId="11">#REF!</definedName>
    <definedName name="Anexo_1.4.4" localSheetId="8">#REF!</definedName>
    <definedName name="Anexo_1.4.4" localSheetId="14">#REF!</definedName>
    <definedName name="Anexo_1.4.4" localSheetId="7">#REF!</definedName>
    <definedName name="Anexo_1.4.4" localSheetId="12">#REF!</definedName>
    <definedName name="Anexo_1.4.4" localSheetId="16">#REF!</definedName>
    <definedName name="Anexo_1.4.4" localSheetId="26">#REF!</definedName>
    <definedName name="Anexo_1.4.4" localSheetId="19">#REF!</definedName>
    <definedName name="Anexo_1.4.4" localSheetId="21">#REF!</definedName>
    <definedName name="Anexo_1.4.4" localSheetId="25">#REF!</definedName>
    <definedName name="Anexo_1.4.4" localSheetId="20">#REF!</definedName>
    <definedName name="Anexo_1.4.4" localSheetId="24">#REF!</definedName>
    <definedName name="Anexo_1.4.4" localSheetId="22">#REF!</definedName>
    <definedName name="Anexo_1.4.4" localSheetId="18">#REF!</definedName>
    <definedName name="Anexo_1.4.4" localSheetId="23">#REF!</definedName>
    <definedName name="Anexo_1.4.4" localSheetId="2">#REF!</definedName>
    <definedName name="Anexo_1.4.4" localSheetId="29">#REF!</definedName>
    <definedName name="Anexo_1.4.4" localSheetId="15">#REF!</definedName>
    <definedName name="Anexo_1.4.4" localSheetId="17">#REF!</definedName>
    <definedName name="Anexo_1.4.4">#REF!</definedName>
    <definedName name="ar">#N/A</definedName>
    <definedName name="_xlnm.Print_Area" localSheetId="4">'Anexo 1. Fontes e Aplicações'!$A$1:$F$35</definedName>
    <definedName name="_xlnm.Print_Area" localSheetId="2">'Indicadores e Metas'!$A$1:$F$107</definedName>
    <definedName name="_xlnm.Print_Area" localSheetId="1">'Mapa Estratégico e ODS'!$A$1:$I$3</definedName>
    <definedName name="_xlnm.Print_Area" localSheetId="29">'Matriz de Obj. Estrat.'!$A$1:$K$19</definedName>
    <definedName name="_xlnm.Print_Area" localSheetId="3">'Quadro Geral'!$A$1:$K$68</definedName>
    <definedName name="asas" localSheetId="13">#REF!</definedName>
    <definedName name="asas" localSheetId="9">#REF!</definedName>
    <definedName name="asas" localSheetId="10">#REF!</definedName>
    <definedName name="asas" localSheetId="11">#REF!</definedName>
    <definedName name="asas" localSheetId="8">#REF!</definedName>
    <definedName name="asas" localSheetId="14">#REF!</definedName>
    <definedName name="asas" localSheetId="7">#REF!</definedName>
    <definedName name="asas" localSheetId="12">#REF!</definedName>
    <definedName name="asas" localSheetId="16">#REF!</definedName>
    <definedName name="asas" localSheetId="26">#REF!</definedName>
    <definedName name="asas" localSheetId="19">#REF!</definedName>
    <definedName name="asas" localSheetId="21">#REF!</definedName>
    <definedName name="asas" localSheetId="25">#REF!</definedName>
    <definedName name="asas" localSheetId="20">#REF!</definedName>
    <definedName name="asas" localSheetId="24">#REF!</definedName>
    <definedName name="asas" localSheetId="22">#REF!</definedName>
    <definedName name="asas" localSheetId="18">#REF!</definedName>
    <definedName name="asas" localSheetId="23">#REF!</definedName>
    <definedName name="asas" localSheetId="2">#REF!</definedName>
    <definedName name="asas" localSheetId="29">#REF!</definedName>
    <definedName name="asas" localSheetId="15">#REF!</definedName>
    <definedName name="asas" localSheetId="17">#REF!</definedName>
    <definedName name="asas">#REF!</definedName>
    <definedName name="ass" localSheetId="13">#REF!</definedName>
    <definedName name="ass" localSheetId="9">#REF!</definedName>
    <definedName name="ass" localSheetId="10">#REF!</definedName>
    <definedName name="ass" localSheetId="11">#REF!</definedName>
    <definedName name="ass" localSheetId="8">#REF!</definedName>
    <definedName name="ass" localSheetId="14">#REF!</definedName>
    <definedName name="ass" localSheetId="7">#REF!</definedName>
    <definedName name="ass" localSheetId="12">#REF!</definedName>
    <definedName name="ass" localSheetId="16">#REF!</definedName>
    <definedName name="ass" localSheetId="26">#REF!</definedName>
    <definedName name="ass" localSheetId="19">#REF!</definedName>
    <definedName name="ass" localSheetId="21">#REF!</definedName>
    <definedName name="ass" localSheetId="25">#REF!</definedName>
    <definedName name="ass" localSheetId="20">#REF!</definedName>
    <definedName name="ass" localSheetId="24">#REF!</definedName>
    <definedName name="ass" localSheetId="22">#REF!</definedName>
    <definedName name="ass" localSheetId="18">#REF!</definedName>
    <definedName name="ass" localSheetId="23">#REF!</definedName>
    <definedName name="ass" localSheetId="2">#REF!</definedName>
    <definedName name="ass" localSheetId="29">#REF!</definedName>
    <definedName name="ass" localSheetId="15">#REF!</definedName>
    <definedName name="ass" localSheetId="17">#REF!</definedName>
    <definedName name="ass">#REF!</definedName>
    <definedName name="_xlnm.Database" localSheetId="13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8">#REF!</definedName>
    <definedName name="_xlnm.Database" localSheetId="14">#REF!</definedName>
    <definedName name="_xlnm.Database" localSheetId="7">#REF!</definedName>
    <definedName name="_xlnm.Database" localSheetId="12">#REF!</definedName>
    <definedName name="_xlnm.Database" localSheetId="28">#REF!</definedName>
    <definedName name="_xlnm.Database" localSheetId="16">#REF!</definedName>
    <definedName name="_xlnm.Database" localSheetId="26">#REF!</definedName>
    <definedName name="_xlnm.Database" localSheetId="19">#REF!</definedName>
    <definedName name="_xlnm.Database" localSheetId="21">#REF!</definedName>
    <definedName name="_xlnm.Database" localSheetId="25">#REF!</definedName>
    <definedName name="_xlnm.Database" localSheetId="20">#REF!</definedName>
    <definedName name="_xlnm.Database" localSheetId="24">#REF!</definedName>
    <definedName name="_xlnm.Database" localSheetId="22">#REF!</definedName>
    <definedName name="_xlnm.Database" localSheetId="18">#REF!</definedName>
    <definedName name="_xlnm.Database" localSheetId="23">#REF!</definedName>
    <definedName name="_xlnm.Database" localSheetId="2">#REF!</definedName>
    <definedName name="_xlnm.Database" localSheetId="29">#REF!</definedName>
    <definedName name="_xlnm.Database" localSheetId="0">#REF!</definedName>
    <definedName name="_xlnm.Database" localSheetId="15">#REF!</definedName>
    <definedName name="_xlnm.Database" localSheetId="3">#REF!</definedName>
    <definedName name="_xlnm.Database" localSheetId="17">#REF!</definedName>
    <definedName name="_xlnm.Database">#REF!</definedName>
    <definedName name="banco_de_dados_sym" localSheetId="13">#REF!</definedName>
    <definedName name="banco_de_dados_sym" localSheetId="9">#REF!</definedName>
    <definedName name="banco_de_dados_sym" localSheetId="10">#REF!</definedName>
    <definedName name="banco_de_dados_sym" localSheetId="11">#REF!</definedName>
    <definedName name="banco_de_dados_sym" localSheetId="8">#REF!</definedName>
    <definedName name="banco_de_dados_sym" localSheetId="14">#REF!</definedName>
    <definedName name="banco_de_dados_sym" localSheetId="7">#REF!</definedName>
    <definedName name="banco_de_dados_sym" localSheetId="12">#REF!</definedName>
    <definedName name="banco_de_dados_sym" localSheetId="28">#REF!</definedName>
    <definedName name="banco_de_dados_sym" localSheetId="16">#REF!</definedName>
    <definedName name="banco_de_dados_sym" localSheetId="26">#REF!</definedName>
    <definedName name="banco_de_dados_sym" localSheetId="19">#REF!</definedName>
    <definedName name="banco_de_dados_sym" localSheetId="21">#REF!</definedName>
    <definedName name="banco_de_dados_sym" localSheetId="25">#REF!</definedName>
    <definedName name="banco_de_dados_sym" localSheetId="20">#REF!</definedName>
    <definedName name="banco_de_dados_sym" localSheetId="24">#REF!</definedName>
    <definedName name="banco_de_dados_sym" localSheetId="22">#REF!</definedName>
    <definedName name="banco_de_dados_sym" localSheetId="18">#REF!</definedName>
    <definedName name="banco_de_dados_sym" localSheetId="23">#REF!</definedName>
    <definedName name="banco_de_dados_sym" localSheetId="2">#REF!</definedName>
    <definedName name="banco_de_dados_sym" localSheetId="29">#REF!</definedName>
    <definedName name="banco_de_dados_sym" localSheetId="15">#REF!</definedName>
    <definedName name="banco_de_dados_sym" localSheetId="17">#REF!</definedName>
    <definedName name="banco_de_dados_sym">#REF!</definedName>
    <definedName name="Copia" localSheetId="13">#REF!</definedName>
    <definedName name="Copia" localSheetId="9">#REF!</definedName>
    <definedName name="Copia" localSheetId="10">#REF!</definedName>
    <definedName name="Copia" localSheetId="11">#REF!</definedName>
    <definedName name="Copia" localSheetId="8">#REF!</definedName>
    <definedName name="Copia" localSheetId="14">#REF!</definedName>
    <definedName name="Copia" localSheetId="7">#REF!</definedName>
    <definedName name="Copia" localSheetId="12">#REF!</definedName>
    <definedName name="Copia" localSheetId="16">#REF!</definedName>
    <definedName name="Copia" localSheetId="26">#REF!</definedName>
    <definedName name="Copia" localSheetId="19">#REF!</definedName>
    <definedName name="Copia" localSheetId="21">#REF!</definedName>
    <definedName name="Copia" localSheetId="25">#REF!</definedName>
    <definedName name="Copia" localSheetId="20">#REF!</definedName>
    <definedName name="Copia" localSheetId="24">#REF!</definedName>
    <definedName name="Copia" localSheetId="22">#REF!</definedName>
    <definedName name="Copia" localSheetId="18">#REF!</definedName>
    <definedName name="Copia" localSheetId="23">#REF!</definedName>
    <definedName name="Copia" localSheetId="2">#REF!</definedName>
    <definedName name="Copia" localSheetId="29">#REF!</definedName>
    <definedName name="Copia" localSheetId="15">#REF!</definedName>
    <definedName name="Copia" localSheetId="17">#REF!</definedName>
    <definedName name="Copia">#REF!</definedName>
    <definedName name="copia2" localSheetId="13">#REF!</definedName>
    <definedName name="copia2" localSheetId="9">#REF!</definedName>
    <definedName name="copia2" localSheetId="10">#REF!</definedName>
    <definedName name="copia2" localSheetId="11">#REF!</definedName>
    <definedName name="copia2" localSheetId="8">#REF!</definedName>
    <definedName name="copia2" localSheetId="14">#REF!</definedName>
    <definedName name="copia2" localSheetId="7">#REF!</definedName>
    <definedName name="copia2" localSheetId="12">#REF!</definedName>
    <definedName name="copia2" localSheetId="16">#REF!</definedName>
    <definedName name="copia2" localSheetId="26">#REF!</definedName>
    <definedName name="copia2" localSheetId="19">#REF!</definedName>
    <definedName name="copia2" localSheetId="21">#REF!</definedName>
    <definedName name="copia2" localSheetId="25">#REF!</definedName>
    <definedName name="copia2" localSheetId="20">#REF!</definedName>
    <definedName name="copia2" localSheetId="24">#REF!</definedName>
    <definedName name="copia2" localSheetId="22">#REF!</definedName>
    <definedName name="copia2" localSheetId="18">#REF!</definedName>
    <definedName name="copia2" localSheetId="23">#REF!</definedName>
    <definedName name="copia2" localSheetId="2">#REF!</definedName>
    <definedName name="copia2" localSheetId="29">#REF!</definedName>
    <definedName name="copia2" localSheetId="15">#REF!</definedName>
    <definedName name="copia2" localSheetId="17">#REF!</definedName>
    <definedName name="copia2">#REF!</definedName>
    <definedName name="_xlnm.Criteria" localSheetId="13">#REF!</definedName>
    <definedName name="_xlnm.Criteria" localSheetId="9">#REF!</definedName>
    <definedName name="_xlnm.Criteria" localSheetId="10">#REF!</definedName>
    <definedName name="_xlnm.Criteria" localSheetId="11">#REF!</definedName>
    <definedName name="_xlnm.Criteria" localSheetId="8">#REF!</definedName>
    <definedName name="_xlnm.Criteria" localSheetId="14">#REF!</definedName>
    <definedName name="_xlnm.Criteria" localSheetId="7">#REF!</definedName>
    <definedName name="_xlnm.Criteria" localSheetId="12">#REF!</definedName>
    <definedName name="_xlnm.Criteria" localSheetId="16">#REF!</definedName>
    <definedName name="_xlnm.Criteria" localSheetId="26">#REF!</definedName>
    <definedName name="_xlnm.Criteria" localSheetId="19">#REF!</definedName>
    <definedName name="_xlnm.Criteria" localSheetId="21">#REF!</definedName>
    <definedName name="_xlnm.Criteria" localSheetId="25">#REF!</definedName>
    <definedName name="_xlnm.Criteria" localSheetId="20">#REF!</definedName>
    <definedName name="_xlnm.Criteria" localSheetId="24">#REF!</definedName>
    <definedName name="_xlnm.Criteria" localSheetId="22">#REF!</definedName>
    <definedName name="_xlnm.Criteria" localSheetId="18">#REF!</definedName>
    <definedName name="_xlnm.Criteria" localSheetId="23">#REF!</definedName>
    <definedName name="_xlnm.Criteria" localSheetId="2">#REF!</definedName>
    <definedName name="_xlnm.Criteria" localSheetId="29">#REF!</definedName>
    <definedName name="_xlnm.Criteria" localSheetId="15">#REF!</definedName>
    <definedName name="_xlnm.Criteria" localSheetId="17">#REF!</definedName>
    <definedName name="_xlnm.Criteria">#REF!</definedName>
    <definedName name="dados" localSheetId="13">#REF!</definedName>
    <definedName name="dados" localSheetId="9">#REF!</definedName>
    <definedName name="dados" localSheetId="10">#REF!</definedName>
    <definedName name="dados" localSheetId="11">#REF!</definedName>
    <definedName name="dados" localSheetId="8">#REF!</definedName>
    <definedName name="dados" localSheetId="14">#REF!</definedName>
    <definedName name="dados" localSheetId="7">#REF!</definedName>
    <definedName name="dados" localSheetId="12">#REF!</definedName>
    <definedName name="dados" localSheetId="16">#REF!</definedName>
    <definedName name="dados" localSheetId="26">#REF!</definedName>
    <definedName name="dados" localSheetId="19">#REF!</definedName>
    <definedName name="dados" localSheetId="21">#REF!</definedName>
    <definedName name="dados" localSheetId="25">#REF!</definedName>
    <definedName name="dados" localSheetId="20">#REF!</definedName>
    <definedName name="dados" localSheetId="24">#REF!</definedName>
    <definedName name="dados" localSheetId="22">#REF!</definedName>
    <definedName name="dados" localSheetId="18">#REF!</definedName>
    <definedName name="dados" localSheetId="23">#REF!</definedName>
    <definedName name="dados" localSheetId="2">#REF!</definedName>
    <definedName name="dados" localSheetId="29">#REF!</definedName>
    <definedName name="dados" localSheetId="15">#REF!</definedName>
    <definedName name="dados" localSheetId="17">#REF!</definedName>
    <definedName name="dados">#REF!</definedName>
    <definedName name="Database" localSheetId="13">#REF!</definedName>
    <definedName name="Database" localSheetId="9">#REF!</definedName>
    <definedName name="Database" localSheetId="10">#REF!</definedName>
    <definedName name="Database" localSheetId="11">#REF!</definedName>
    <definedName name="Database" localSheetId="8">#REF!</definedName>
    <definedName name="Database" localSheetId="14">#REF!</definedName>
    <definedName name="Database" localSheetId="7">#REF!</definedName>
    <definedName name="Database" localSheetId="12">#REF!</definedName>
    <definedName name="Database" localSheetId="16">#REF!</definedName>
    <definedName name="Database" localSheetId="26">#REF!</definedName>
    <definedName name="Database" localSheetId="19">#REF!</definedName>
    <definedName name="Database" localSheetId="21">#REF!</definedName>
    <definedName name="Database" localSheetId="25">#REF!</definedName>
    <definedName name="Database" localSheetId="20">#REF!</definedName>
    <definedName name="Database" localSheetId="24">#REF!</definedName>
    <definedName name="Database" localSheetId="22">#REF!</definedName>
    <definedName name="Database" localSheetId="18">#REF!</definedName>
    <definedName name="Database" localSheetId="23">#REF!</definedName>
    <definedName name="Database" localSheetId="29">#REF!</definedName>
    <definedName name="Database" localSheetId="15">#REF!</definedName>
    <definedName name="Database" localSheetId="17">#REF!</definedName>
    <definedName name="Database">#REF!</definedName>
    <definedName name="DEZEMBRO" localSheetId="13">#REF!</definedName>
    <definedName name="DEZEMBRO" localSheetId="9">#REF!</definedName>
    <definedName name="DEZEMBRO" localSheetId="10">#REF!</definedName>
    <definedName name="DEZEMBRO" localSheetId="11">#REF!</definedName>
    <definedName name="DEZEMBRO" localSheetId="8">#REF!</definedName>
    <definedName name="DEZEMBRO" localSheetId="14">#REF!</definedName>
    <definedName name="DEZEMBRO" localSheetId="7">#REF!</definedName>
    <definedName name="DEZEMBRO" localSheetId="12">#REF!</definedName>
    <definedName name="DEZEMBRO" localSheetId="16">#REF!</definedName>
    <definedName name="DEZEMBRO" localSheetId="26">#REF!</definedName>
    <definedName name="DEZEMBRO" localSheetId="19">#REF!</definedName>
    <definedName name="DEZEMBRO" localSheetId="21">#REF!</definedName>
    <definedName name="DEZEMBRO" localSheetId="25">#REF!</definedName>
    <definedName name="DEZEMBRO" localSheetId="20">#REF!</definedName>
    <definedName name="DEZEMBRO" localSheetId="24">#REF!</definedName>
    <definedName name="DEZEMBRO" localSheetId="22">#REF!</definedName>
    <definedName name="DEZEMBRO" localSheetId="18">#REF!</definedName>
    <definedName name="DEZEMBRO" localSheetId="23">#REF!</definedName>
    <definedName name="DEZEMBRO" localSheetId="29">#REF!</definedName>
    <definedName name="DEZEMBRO" localSheetId="15">#REF!</definedName>
    <definedName name="DEZEMBRO" localSheetId="17">#REF!</definedName>
    <definedName name="DEZEMBRO">#REF!</definedName>
    <definedName name="huala" localSheetId="13">#REF!</definedName>
    <definedName name="huala" localSheetId="9">#REF!</definedName>
    <definedName name="huala" localSheetId="10">#REF!</definedName>
    <definedName name="huala" localSheetId="11">#REF!</definedName>
    <definedName name="huala" localSheetId="8">#REF!</definedName>
    <definedName name="huala" localSheetId="14">#REF!</definedName>
    <definedName name="huala" localSheetId="7">#REF!</definedName>
    <definedName name="huala" localSheetId="12">#REF!</definedName>
    <definedName name="huala" localSheetId="16">#REF!</definedName>
    <definedName name="huala" localSheetId="26">#REF!</definedName>
    <definedName name="huala" localSheetId="19">#REF!</definedName>
    <definedName name="huala" localSheetId="21">#REF!</definedName>
    <definedName name="huala" localSheetId="25">#REF!</definedName>
    <definedName name="huala" localSheetId="20">#REF!</definedName>
    <definedName name="huala" localSheetId="24">#REF!</definedName>
    <definedName name="huala" localSheetId="22">#REF!</definedName>
    <definedName name="huala" localSheetId="18">#REF!</definedName>
    <definedName name="huala" localSheetId="23">#REF!</definedName>
    <definedName name="huala" localSheetId="2">#REF!</definedName>
    <definedName name="huala" localSheetId="29">#REF!</definedName>
    <definedName name="huala" localSheetId="15">#REF!</definedName>
    <definedName name="huala" localSheetId="17">#REF!</definedName>
    <definedName name="huala">#REF!</definedName>
    <definedName name="kk" localSheetId="13">#REF!</definedName>
    <definedName name="kk" localSheetId="9">#REF!</definedName>
    <definedName name="kk" localSheetId="10">#REF!</definedName>
    <definedName name="kk" localSheetId="11">#REF!</definedName>
    <definedName name="kk" localSheetId="8">#REF!</definedName>
    <definedName name="kk" localSheetId="14">#REF!</definedName>
    <definedName name="kk" localSheetId="7">#REF!</definedName>
    <definedName name="kk" localSheetId="12">#REF!</definedName>
    <definedName name="kk" localSheetId="16">#REF!</definedName>
    <definedName name="kk" localSheetId="26">#REF!</definedName>
    <definedName name="kk" localSheetId="19">#REF!</definedName>
    <definedName name="kk" localSheetId="21">#REF!</definedName>
    <definedName name="kk" localSheetId="25">#REF!</definedName>
    <definedName name="kk" localSheetId="20">#REF!</definedName>
    <definedName name="kk" localSheetId="24">#REF!</definedName>
    <definedName name="kk" localSheetId="22">#REF!</definedName>
    <definedName name="kk" localSheetId="18">#REF!</definedName>
    <definedName name="kk" localSheetId="23">#REF!</definedName>
    <definedName name="kk" localSheetId="2">#REF!</definedName>
    <definedName name="kk" localSheetId="29">#REF!</definedName>
    <definedName name="kk" localSheetId="15">#REF!</definedName>
    <definedName name="kk" localSheetId="17">#REF!</definedName>
    <definedName name="kk">#REF!</definedName>
    <definedName name="Percentual5" localSheetId="13">'[1]Estudos - Receita'!$XFB$1:$XFB$20</definedName>
    <definedName name="Percentual5" localSheetId="9">'[1]Estudos - Receita'!$XFB$1:$XFB$20</definedName>
    <definedName name="Percentual5" localSheetId="10">'[1]Estudos - Receita'!$XFB$1:$XFB$20</definedName>
    <definedName name="Percentual5" localSheetId="11">'[1]Estudos - Receita'!$XFB$1:$XFB$20</definedName>
    <definedName name="Percentual5" localSheetId="8">'[1]Estudos - Receita'!$XFB$1:$XFB$20</definedName>
    <definedName name="Percentual5" localSheetId="14">'[1]Estudos - Receita'!$XFB$1:$XFB$20</definedName>
    <definedName name="Percentual5" localSheetId="7">'[1]Estudos - Receita'!$XFB$1:$XFB$20</definedName>
    <definedName name="Percentual5" localSheetId="12">'[1]Estudos - Receita'!$XFB$1:$XFB$20</definedName>
    <definedName name="Percentual5" localSheetId="28">'[2]Estudos - Receita'!$XFB$1:$XFB$20</definedName>
    <definedName name="Percentual5" localSheetId="16">'[1]Estudos - Receita'!$XFB$1:$XFB$20</definedName>
    <definedName name="Percentual5" localSheetId="26">'[1]Estudos - Receita'!$XFB$1:$XFB$20</definedName>
    <definedName name="Percentual5" localSheetId="19">'[1]Estudos - Receita'!$XFB$1:$XFB$20</definedName>
    <definedName name="Percentual5" localSheetId="21">'[1]Estudos - Receita'!$XFB$1:$XFB$20</definedName>
    <definedName name="Percentual5" localSheetId="25">'[1]Estudos - Receita'!$XFB$1:$XFB$20</definedName>
    <definedName name="Percentual5" localSheetId="20">'[1]Estudos - Receita'!$XFB$1:$XFB$20</definedName>
    <definedName name="Percentual5" localSheetId="24">'[1]Estudos - Receita'!$XFB$1:$XFB$20</definedName>
    <definedName name="Percentual5" localSheetId="22">'[1]Estudos - Receita'!$XFB$1:$XFB$20</definedName>
    <definedName name="Percentual5" localSheetId="18">'[1]Estudos - Receita'!$XFB$1:$XFB$20</definedName>
    <definedName name="Percentual5" localSheetId="23">'[1]Estudos - Receita'!$XFB$1:$XFB$20</definedName>
    <definedName name="Percentual5" localSheetId="15">'[1]Estudos - Receita'!$XFB$1:$XFB$20</definedName>
    <definedName name="Percentual5" localSheetId="17">'[1]Estudos - Receita'!$XFB$1:$XFB$20</definedName>
    <definedName name="Percentual5">'[3]Estudos - Receita'!$XFB$1:$XFB$20</definedName>
    <definedName name="PJ2anos" localSheetId="13">'[1]Estudos - Quant. PJ'!$K:$O,'[1]Estudos - Quant. PJ'!$J$2</definedName>
    <definedName name="PJ2anos" localSheetId="9">'[1]Estudos - Quant. PJ'!$K:$O,'[1]Estudos - Quant. PJ'!$J$2</definedName>
    <definedName name="PJ2anos" localSheetId="10">'[1]Estudos - Quant. PJ'!$K:$O,'[1]Estudos - Quant. PJ'!$J$2</definedName>
    <definedName name="PJ2anos" localSheetId="11">'[1]Estudos - Quant. PJ'!$K:$O,'[1]Estudos - Quant. PJ'!$J$2</definedName>
    <definedName name="PJ2anos" localSheetId="8">'[1]Estudos - Quant. PJ'!$K:$O,'[1]Estudos - Quant. PJ'!$J$2</definedName>
    <definedName name="PJ2anos" localSheetId="14">'[1]Estudos - Quant. PJ'!$K:$O,'[1]Estudos - Quant. PJ'!$J$2</definedName>
    <definedName name="PJ2anos" localSheetId="7">'[1]Estudos - Quant. PJ'!$K:$O,'[1]Estudos - Quant. PJ'!$J$2</definedName>
    <definedName name="PJ2anos" localSheetId="12">'[1]Estudos - Quant. PJ'!$K:$O,'[1]Estudos - Quant. PJ'!$J$2</definedName>
    <definedName name="PJ2anos" localSheetId="28">'[2]Estudos - Quant. PJ'!$K:$O,'[2]Estudos - Quant. PJ'!$J$2</definedName>
    <definedName name="PJ2anos" localSheetId="16">'[1]Estudos - Quant. PJ'!$K:$O,'[1]Estudos - Quant. PJ'!$J$2</definedName>
    <definedName name="PJ2anos" localSheetId="26">'[1]Estudos - Quant. PJ'!$K:$O,'[1]Estudos - Quant. PJ'!$J$2</definedName>
    <definedName name="PJ2anos" localSheetId="19">'[1]Estudos - Quant. PJ'!$K:$O,'[1]Estudos - Quant. PJ'!$J$2</definedName>
    <definedName name="PJ2anos" localSheetId="21">'[1]Estudos - Quant. PJ'!$K:$O,'[1]Estudos - Quant. PJ'!$J$2</definedName>
    <definedName name="PJ2anos" localSheetId="25">'[1]Estudos - Quant. PJ'!$K:$O,'[1]Estudos - Quant. PJ'!$J$2</definedName>
    <definedName name="PJ2anos" localSheetId="20">'[1]Estudos - Quant. PJ'!$K:$O,'[1]Estudos - Quant. PJ'!$J$2</definedName>
    <definedName name="PJ2anos" localSheetId="24">'[1]Estudos - Quant. PJ'!$K:$O,'[1]Estudos - Quant. PJ'!$J$2</definedName>
    <definedName name="PJ2anos" localSheetId="22">'[1]Estudos - Quant. PJ'!$K:$O,'[1]Estudos - Quant. PJ'!$J$2</definedName>
    <definedName name="PJ2anos" localSheetId="18">'[1]Estudos - Quant. PJ'!$K:$O,'[1]Estudos - Quant. PJ'!$J$2</definedName>
    <definedName name="PJ2anos" localSheetId="23">'[1]Estudos - Quant. PJ'!$K:$O,'[1]Estudos - Quant. PJ'!$J$2</definedName>
    <definedName name="PJ2anos" localSheetId="15">'[1]Estudos - Quant. PJ'!$K:$O,'[1]Estudos - Quant. PJ'!$J$2</definedName>
    <definedName name="PJ2anos" localSheetId="17">'[1]Estudos - Quant. PJ'!$K:$O,'[1]Estudos - Quant. PJ'!$J$2</definedName>
    <definedName name="PJ2anos">'[3]Estudos - Quant. PJ'!$K:$O,'[3]Estudos - Quant. PJ'!$J$2</definedName>
    <definedName name="PREs">#N/A</definedName>
    <definedName name="Presid">#N/A</definedName>
    <definedName name="X" localSheetId="13">#REF!</definedName>
    <definedName name="X" localSheetId="9">#REF!</definedName>
    <definedName name="X" localSheetId="10">#REF!</definedName>
    <definedName name="X" localSheetId="11">#REF!</definedName>
    <definedName name="X" localSheetId="8">#REF!</definedName>
    <definedName name="X" localSheetId="14">#REF!</definedName>
    <definedName name="X" localSheetId="7">#REF!</definedName>
    <definedName name="X" localSheetId="12">#REF!</definedName>
    <definedName name="X" localSheetId="16">#REF!</definedName>
    <definedName name="X" localSheetId="26">#REF!</definedName>
    <definedName name="X" localSheetId="19">#REF!</definedName>
    <definedName name="X" localSheetId="21">#REF!</definedName>
    <definedName name="X" localSheetId="25">#REF!</definedName>
    <definedName name="X" localSheetId="20">#REF!</definedName>
    <definedName name="X" localSheetId="24">#REF!</definedName>
    <definedName name="X" localSheetId="22">#REF!</definedName>
    <definedName name="X" localSheetId="18">#REF!</definedName>
    <definedName name="X" localSheetId="23">#REF!</definedName>
    <definedName name="X" localSheetId="29">#REF!</definedName>
    <definedName name="X" localSheetId="15">#REF!</definedName>
    <definedName name="X" localSheetId="17">#REF!</definedName>
    <definedName name="X">#REF!</definedName>
    <definedName name="XFE1048575" localSheetId="13">#REF!</definedName>
    <definedName name="XFE1048575" localSheetId="9">#REF!</definedName>
    <definedName name="XFE1048575" localSheetId="10">#REF!</definedName>
    <definedName name="XFE1048575" localSheetId="11">#REF!</definedName>
    <definedName name="XFE1048575" localSheetId="8">#REF!</definedName>
    <definedName name="XFE1048575" localSheetId="14">#REF!</definedName>
    <definedName name="XFE1048575" localSheetId="7">#REF!</definedName>
    <definedName name="XFE1048575" localSheetId="12">#REF!</definedName>
    <definedName name="XFE1048575" localSheetId="28">#REF!</definedName>
    <definedName name="XFE1048575" localSheetId="16">#REF!</definedName>
    <definedName name="XFE1048575" localSheetId="26">#REF!</definedName>
    <definedName name="XFE1048575" localSheetId="19">#REF!</definedName>
    <definedName name="XFE1048575" localSheetId="21">#REF!</definedName>
    <definedName name="XFE1048575" localSheetId="25">#REF!</definedName>
    <definedName name="XFE1048575" localSheetId="20">#REF!</definedName>
    <definedName name="XFE1048575" localSheetId="24">#REF!</definedName>
    <definedName name="XFE1048575" localSheetId="22">#REF!</definedName>
    <definedName name="XFE1048575" localSheetId="18">#REF!</definedName>
    <definedName name="XFE1048575" localSheetId="23">#REF!</definedName>
    <definedName name="XFE1048575" localSheetId="2">#REF!</definedName>
    <definedName name="XFE1048575" localSheetId="29">#REF!</definedName>
    <definedName name="XFE1048575" localSheetId="15">#REF!</definedName>
    <definedName name="XFE1048575" localSheetId="17">#REF!</definedName>
    <definedName name="XFE1048575">#REF!</definedName>
    <definedName name="XFe1048576" localSheetId="13">#REF!</definedName>
    <definedName name="XFe1048576" localSheetId="9">#REF!</definedName>
    <definedName name="XFe1048576" localSheetId="10">#REF!</definedName>
    <definedName name="XFe1048576" localSheetId="11">#REF!</definedName>
    <definedName name="XFe1048576" localSheetId="8">#REF!</definedName>
    <definedName name="XFe1048576" localSheetId="14">#REF!</definedName>
    <definedName name="XFe1048576" localSheetId="7">#REF!</definedName>
    <definedName name="XFe1048576" localSheetId="12">#REF!</definedName>
    <definedName name="XFe1048576" localSheetId="28">#REF!</definedName>
    <definedName name="XFe1048576" localSheetId="16">#REF!</definedName>
    <definedName name="XFe1048576" localSheetId="26">#REF!</definedName>
    <definedName name="XFe1048576" localSheetId="19">#REF!</definedName>
    <definedName name="XFe1048576" localSheetId="21">#REF!</definedName>
    <definedName name="XFe1048576" localSheetId="25">#REF!</definedName>
    <definedName name="XFe1048576" localSheetId="20">#REF!</definedName>
    <definedName name="XFe1048576" localSheetId="24">#REF!</definedName>
    <definedName name="XFe1048576" localSheetId="22">#REF!</definedName>
    <definedName name="XFe1048576" localSheetId="18">#REF!</definedName>
    <definedName name="XFe1048576" localSheetId="23">#REF!</definedName>
    <definedName name="XFe1048576" localSheetId="2">#REF!</definedName>
    <definedName name="XFe1048576" localSheetId="29">#REF!</definedName>
    <definedName name="XFe1048576" localSheetId="15">#REF!</definedName>
    <definedName name="XFe1048576" localSheetId="17">#REF!</definedName>
    <definedName name="XFe1048576">#REF!</definedName>
  </definedNames>
  <calcPr calcId="145621"/>
</workbook>
</file>

<file path=xl/calcChain.xml><?xml version="1.0" encoding="utf-8"?>
<calcChain xmlns="http://schemas.openxmlformats.org/spreadsheetml/2006/main">
  <c r="E22" i="43" l="1"/>
  <c r="E23" i="43"/>
  <c r="M5" i="23" l="1"/>
  <c r="G41" i="8" l="1"/>
  <c r="E11" i="56" l="1"/>
  <c r="J46" i="18"/>
  <c r="J45" i="18"/>
  <c r="J44" i="18"/>
  <c r="J43" i="18"/>
  <c r="E133" i="55"/>
  <c r="E106" i="55"/>
  <c r="E77" i="55"/>
  <c r="E48" i="55"/>
  <c r="J42" i="18"/>
  <c r="E19" i="55"/>
  <c r="E14" i="52"/>
  <c r="E11" i="51"/>
  <c r="N40" i="18"/>
  <c r="P40" i="18" s="1"/>
  <c r="A40" i="18"/>
  <c r="B40" i="18"/>
  <c r="E9" i="48"/>
  <c r="E9" i="49"/>
  <c r="E9" i="47"/>
  <c r="E9" i="45"/>
  <c r="E9" i="43"/>
  <c r="E32" i="18"/>
  <c r="E48" i="18"/>
  <c r="E50" i="18"/>
  <c r="E49" i="18"/>
  <c r="E46" i="18"/>
  <c r="E45" i="18"/>
  <c r="E44" i="18"/>
  <c r="E43" i="18" l="1"/>
  <c r="E52" i="18" l="1"/>
  <c r="E42" i="18"/>
  <c r="E41" i="18"/>
  <c r="E25" i="18"/>
  <c r="E42" i="8" l="1"/>
  <c r="I62" i="15"/>
  <c r="E9" i="46" l="1"/>
  <c r="E9" i="44"/>
  <c r="E9" i="42"/>
  <c r="J49" i="18" l="1"/>
  <c r="G177" i="52" l="1"/>
  <c r="E177" i="52"/>
  <c r="D177" i="52"/>
  <c r="C157" i="52"/>
  <c r="F134" i="55"/>
  <c r="H134" i="55"/>
  <c r="F177" i="52" l="1"/>
  <c r="I47" i="15"/>
  <c r="H177" i="52"/>
  <c r="J47" i="15" l="1"/>
  <c r="K47" i="15" s="1"/>
  <c r="C40" i="18"/>
  <c r="R40" i="18" s="1"/>
  <c r="D78" i="55" l="1"/>
  <c r="N52" i="18" l="1"/>
  <c r="P52" i="18" s="1"/>
  <c r="N51" i="18"/>
  <c r="P51" i="18" s="1"/>
  <c r="A51" i="18"/>
  <c r="J62" i="15"/>
  <c r="K62" i="15" s="1"/>
  <c r="C62" i="15"/>
  <c r="B51" i="18" s="1"/>
  <c r="E31" i="59"/>
  <c r="D31" i="59"/>
  <c r="G31" i="59"/>
  <c r="H30" i="59"/>
  <c r="F30" i="59"/>
  <c r="N39" i="18"/>
  <c r="P39" i="18" s="1"/>
  <c r="A39" i="18"/>
  <c r="B39" i="18"/>
  <c r="G164" i="52"/>
  <c r="E164" i="52"/>
  <c r="D164" i="52"/>
  <c r="C74" i="52"/>
  <c r="H164" i="52" l="1"/>
  <c r="F164" i="52"/>
  <c r="C51" i="18"/>
  <c r="R51" i="18" s="1"/>
  <c r="F31" i="59"/>
  <c r="H31" i="59"/>
  <c r="I46" i="15"/>
  <c r="C39" i="18" l="1"/>
  <c r="R39" i="18" s="1"/>
  <c r="J46" i="15"/>
  <c r="K46" i="15" s="1"/>
  <c r="F9" i="51" l="1"/>
  <c r="C4" i="44" l="1"/>
  <c r="C3" i="44"/>
  <c r="C4" i="56" l="1"/>
  <c r="C3" i="56"/>
  <c r="F67" i="52" l="1"/>
  <c r="D68" i="52"/>
  <c r="E68" i="52"/>
  <c r="C4" i="60" l="1"/>
  <c r="N49" i="18" l="1"/>
  <c r="P49" i="18" s="1"/>
  <c r="N50" i="18"/>
  <c r="P50" i="18" s="1"/>
  <c r="A52" i="18"/>
  <c r="B52" i="18"/>
  <c r="A50" i="18"/>
  <c r="B50" i="18"/>
  <c r="A49" i="18"/>
  <c r="B49" i="18"/>
  <c r="A8" i="18"/>
  <c r="B8" i="18"/>
  <c r="A9" i="18"/>
  <c r="B9" i="18"/>
  <c r="A10" i="18"/>
  <c r="B10" i="18"/>
  <c r="A11" i="18"/>
  <c r="B11" i="18"/>
  <c r="A12" i="18"/>
  <c r="B12" i="18"/>
  <c r="A13" i="18"/>
  <c r="B13" i="18"/>
  <c r="A14" i="18"/>
  <c r="B14" i="18"/>
  <c r="A15" i="18"/>
  <c r="B15" i="18"/>
  <c r="A16" i="18"/>
  <c r="B16" i="18"/>
  <c r="A17" i="18"/>
  <c r="B17" i="18"/>
  <c r="A18" i="18"/>
  <c r="B18" i="18"/>
  <c r="A19" i="18"/>
  <c r="B19" i="18"/>
  <c r="A20" i="18"/>
  <c r="B20" i="18"/>
  <c r="A21" i="18"/>
  <c r="B21" i="18"/>
  <c r="A22" i="18"/>
  <c r="B22" i="18"/>
  <c r="A23" i="18"/>
  <c r="B23" i="18"/>
  <c r="A24" i="18"/>
  <c r="B24" i="18"/>
  <c r="A25" i="18"/>
  <c r="B25" i="18"/>
  <c r="A26" i="18"/>
  <c r="B26" i="18"/>
  <c r="A27" i="18"/>
  <c r="B27" i="18"/>
  <c r="A28" i="18"/>
  <c r="B28" i="18"/>
  <c r="A29" i="18"/>
  <c r="B29" i="18"/>
  <c r="A30" i="18"/>
  <c r="B30" i="18"/>
  <c r="A31" i="18"/>
  <c r="B31" i="18"/>
  <c r="A32" i="18"/>
  <c r="B32" i="18"/>
  <c r="A33" i="18"/>
  <c r="B33" i="18"/>
  <c r="A34" i="18"/>
  <c r="B34" i="18"/>
  <c r="A35" i="18"/>
  <c r="B35" i="18"/>
  <c r="A36" i="18"/>
  <c r="B36" i="18"/>
  <c r="A37" i="18"/>
  <c r="B37" i="18"/>
  <c r="A38" i="18"/>
  <c r="B38" i="18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C142" i="52"/>
  <c r="C128" i="52"/>
  <c r="C116" i="52"/>
  <c r="C103" i="52"/>
  <c r="C90" i="52"/>
  <c r="C142" i="55"/>
  <c r="C141" i="55"/>
  <c r="G149" i="55"/>
  <c r="E149" i="55"/>
  <c r="I56" i="15" s="1"/>
  <c r="C47" i="18" s="1"/>
  <c r="D149" i="55"/>
  <c r="F149" i="55" s="1"/>
  <c r="F148" i="55"/>
  <c r="H147" i="55"/>
  <c r="F147" i="55"/>
  <c r="G123" i="52"/>
  <c r="E123" i="52"/>
  <c r="H123" i="52" s="1"/>
  <c r="D123" i="52"/>
  <c r="H43" i="15" s="1"/>
  <c r="H122" i="52"/>
  <c r="F122" i="52"/>
  <c r="G151" i="52"/>
  <c r="E151" i="52"/>
  <c r="D151" i="52"/>
  <c r="H148" i="52"/>
  <c r="F148" i="52"/>
  <c r="F64" i="52"/>
  <c r="H149" i="55" l="1"/>
  <c r="I43" i="15"/>
  <c r="C36" i="18" s="1"/>
  <c r="J56" i="15"/>
  <c r="K56" i="15" s="1"/>
  <c r="F151" i="52"/>
  <c r="I45" i="15"/>
  <c r="F123" i="52"/>
  <c r="H151" i="52"/>
  <c r="J43" i="15" l="1"/>
  <c r="K43" i="15" s="1"/>
  <c r="J45" i="15"/>
  <c r="K45" i="15" s="1"/>
  <c r="C38" i="18"/>
  <c r="E136" i="52" l="1"/>
  <c r="I44" i="15" s="1"/>
  <c r="D136" i="52"/>
  <c r="E39" i="52"/>
  <c r="F38" i="52"/>
  <c r="D39" i="52"/>
  <c r="G136" i="52"/>
  <c r="H134" i="52"/>
  <c r="F134" i="52"/>
  <c r="C37" i="18" l="1"/>
  <c r="J44" i="15"/>
  <c r="K44" i="15" s="1"/>
  <c r="H136" i="52"/>
  <c r="F136" i="52"/>
  <c r="E107" i="55" l="1"/>
  <c r="F121" i="55" l="1"/>
  <c r="F122" i="55"/>
  <c r="F123" i="55"/>
  <c r="F124" i="55"/>
  <c r="F125" i="55"/>
  <c r="F126" i="55"/>
  <c r="F127" i="55"/>
  <c r="F128" i="55"/>
  <c r="F129" i="55"/>
  <c r="F96" i="55"/>
  <c r="F74" i="55"/>
  <c r="H74" i="55"/>
  <c r="F43" i="55"/>
  <c r="F66" i="52"/>
  <c r="C134" i="50"/>
  <c r="G141" i="50"/>
  <c r="E141" i="50"/>
  <c r="F141" i="50" s="1"/>
  <c r="D141" i="50"/>
  <c r="H30" i="15" s="1"/>
  <c r="H140" i="50"/>
  <c r="F140" i="50"/>
  <c r="E11" i="45"/>
  <c r="D11" i="45"/>
  <c r="F10" i="45"/>
  <c r="I30" i="15" l="1"/>
  <c r="C24" i="18" s="1"/>
  <c r="E78" i="55"/>
  <c r="H141" i="50"/>
  <c r="J30" i="15" l="1"/>
  <c r="K30" i="15" s="1"/>
  <c r="C4" i="59"/>
  <c r="C25" i="59" s="1"/>
  <c r="C3" i="59"/>
  <c r="C4" i="61"/>
  <c r="C3" i="61"/>
  <c r="G11" i="61"/>
  <c r="D11" i="61"/>
  <c r="H60" i="15" s="1"/>
  <c r="H10" i="61"/>
  <c r="F10" i="61"/>
  <c r="H9" i="61"/>
  <c r="F9" i="61"/>
  <c r="C4" i="58"/>
  <c r="C3" i="58"/>
  <c r="C4" i="57"/>
  <c r="C3" i="57"/>
  <c r="C47" i="54"/>
  <c r="C46" i="54"/>
  <c r="G54" i="54"/>
  <c r="E54" i="54"/>
  <c r="D54" i="54"/>
  <c r="H50" i="15" s="1"/>
  <c r="F53" i="54"/>
  <c r="H52" i="54"/>
  <c r="F52" i="54"/>
  <c r="C4" i="54"/>
  <c r="C3" i="54"/>
  <c r="F10" i="54"/>
  <c r="F11" i="54"/>
  <c r="F12" i="54"/>
  <c r="F13" i="54"/>
  <c r="F14" i="54"/>
  <c r="F15" i="54"/>
  <c r="F16" i="54"/>
  <c r="F17" i="54"/>
  <c r="F18" i="54"/>
  <c r="F19" i="54"/>
  <c r="F20" i="54"/>
  <c r="F21" i="54"/>
  <c r="F22" i="54"/>
  <c r="F23" i="54"/>
  <c r="F24" i="54"/>
  <c r="F25" i="54"/>
  <c r="F26" i="54"/>
  <c r="F27" i="54"/>
  <c r="F28" i="54"/>
  <c r="F29" i="54"/>
  <c r="F30" i="54"/>
  <c r="F31" i="54"/>
  <c r="F32" i="54"/>
  <c r="F33" i="54"/>
  <c r="F34" i="54"/>
  <c r="F35" i="54"/>
  <c r="F36" i="54"/>
  <c r="F37" i="54"/>
  <c r="F38" i="54"/>
  <c r="F39" i="54"/>
  <c r="C4" i="53"/>
  <c r="C3" i="53"/>
  <c r="C46" i="52"/>
  <c r="C45" i="52"/>
  <c r="C23" i="52"/>
  <c r="C22" i="52"/>
  <c r="C4" i="52"/>
  <c r="C3" i="52"/>
  <c r="C75" i="52"/>
  <c r="C59" i="52"/>
  <c r="C58" i="52"/>
  <c r="I36" i="15"/>
  <c r="C30" i="18" s="1"/>
  <c r="G110" i="52"/>
  <c r="E110" i="52"/>
  <c r="I42" i="15" s="1"/>
  <c r="C35" i="18" s="1"/>
  <c r="D110" i="52"/>
  <c r="H42" i="15" s="1"/>
  <c r="H109" i="52"/>
  <c r="F109" i="52"/>
  <c r="G97" i="52"/>
  <c r="E97" i="52"/>
  <c r="D97" i="52"/>
  <c r="H41" i="15" s="1"/>
  <c r="H96" i="52"/>
  <c r="F96" i="52"/>
  <c r="H36" i="15"/>
  <c r="E84" i="52"/>
  <c r="D84" i="52"/>
  <c r="G84" i="52"/>
  <c r="H80" i="52"/>
  <c r="F80" i="52"/>
  <c r="G68" i="52"/>
  <c r="H65" i="52"/>
  <c r="F65" i="52"/>
  <c r="F68" i="52" s="1"/>
  <c r="F37" i="52"/>
  <c r="G52" i="52"/>
  <c r="D52" i="52"/>
  <c r="H51" i="52"/>
  <c r="G39" i="52"/>
  <c r="H36" i="52"/>
  <c r="F36" i="52"/>
  <c r="H35" i="52"/>
  <c r="F35" i="52"/>
  <c r="H34" i="52"/>
  <c r="F34" i="52"/>
  <c r="H33" i="52"/>
  <c r="F33" i="52"/>
  <c r="H32" i="52"/>
  <c r="F32" i="52"/>
  <c r="H31" i="52"/>
  <c r="F31" i="52"/>
  <c r="H30" i="52"/>
  <c r="F30" i="52"/>
  <c r="F29" i="52"/>
  <c r="H28" i="52"/>
  <c r="F28" i="52"/>
  <c r="G78" i="51"/>
  <c r="H78" i="51" s="1"/>
  <c r="E78" i="51"/>
  <c r="D78" i="51"/>
  <c r="H77" i="51"/>
  <c r="F77" i="51"/>
  <c r="C59" i="51"/>
  <c r="C58" i="51"/>
  <c r="G65" i="51"/>
  <c r="E65" i="51"/>
  <c r="I35" i="15" s="1"/>
  <c r="C29" i="18" s="1"/>
  <c r="D65" i="51"/>
  <c r="H35" i="15" s="1"/>
  <c r="H64" i="51"/>
  <c r="F64" i="51"/>
  <c r="C46" i="51"/>
  <c r="C45" i="51"/>
  <c r="D39" i="51"/>
  <c r="H33" i="15" s="1"/>
  <c r="C33" i="51"/>
  <c r="C32" i="51"/>
  <c r="F25" i="51"/>
  <c r="C19" i="51"/>
  <c r="C18" i="51"/>
  <c r="C4" i="51"/>
  <c r="C3" i="51"/>
  <c r="C122" i="50"/>
  <c r="C121" i="50"/>
  <c r="C109" i="50"/>
  <c r="C108" i="50"/>
  <c r="G128" i="50"/>
  <c r="H128" i="50" s="1"/>
  <c r="E128" i="50"/>
  <c r="I29" i="15" s="1"/>
  <c r="D128" i="50"/>
  <c r="F128" i="50" s="1"/>
  <c r="H127" i="50"/>
  <c r="F127" i="50"/>
  <c r="G115" i="50"/>
  <c r="H115" i="50" s="1"/>
  <c r="E115" i="50"/>
  <c r="I28" i="15" s="1"/>
  <c r="D115" i="50"/>
  <c r="F115" i="50" s="1"/>
  <c r="H114" i="50"/>
  <c r="F114" i="50"/>
  <c r="C96" i="50"/>
  <c r="C95" i="50"/>
  <c r="C83" i="50"/>
  <c r="C82" i="50"/>
  <c r="G52" i="51"/>
  <c r="E52" i="51"/>
  <c r="C28" i="18" s="1"/>
  <c r="D52" i="51"/>
  <c r="H34" i="15" s="1"/>
  <c r="H51" i="51"/>
  <c r="F51" i="51"/>
  <c r="G39" i="51"/>
  <c r="E39" i="51"/>
  <c r="I33" i="15" s="1"/>
  <c r="C27" i="18" s="1"/>
  <c r="H38" i="51"/>
  <c r="F38" i="51"/>
  <c r="G26" i="51"/>
  <c r="D26" i="51"/>
  <c r="H32" i="15" s="1"/>
  <c r="H25" i="51"/>
  <c r="H24" i="51"/>
  <c r="F24" i="51"/>
  <c r="C70" i="50"/>
  <c r="C69" i="50"/>
  <c r="C57" i="50"/>
  <c r="C56" i="50"/>
  <c r="C44" i="50"/>
  <c r="C43" i="50"/>
  <c r="C31" i="50"/>
  <c r="C30" i="50"/>
  <c r="C18" i="50"/>
  <c r="C17" i="50"/>
  <c r="C4" i="50"/>
  <c r="C3" i="50"/>
  <c r="G102" i="50"/>
  <c r="E102" i="50"/>
  <c r="D102" i="50"/>
  <c r="H27" i="15" s="1"/>
  <c r="H101" i="50"/>
  <c r="F101" i="50"/>
  <c r="G89" i="50"/>
  <c r="E89" i="50"/>
  <c r="I26" i="15" s="1"/>
  <c r="C23" i="18" s="1"/>
  <c r="D89" i="50"/>
  <c r="H26" i="15" s="1"/>
  <c r="H88" i="50"/>
  <c r="F88" i="50"/>
  <c r="G76" i="50"/>
  <c r="E76" i="50"/>
  <c r="I25" i="15" s="1"/>
  <c r="D76" i="50"/>
  <c r="H25" i="15" s="1"/>
  <c r="H75" i="50"/>
  <c r="F75" i="50"/>
  <c r="G63" i="50"/>
  <c r="E63" i="50"/>
  <c r="D63" i="50"/>
  <c r="H24" i="15" s="1"/>
  <c r="H62" i="50"/>
  <c r="F62" i="50"/>
  <c r="G50" i="50"/>
  <c r="E50" i="50"/>
  <c r="I23" i="15" s="1"/>
  <c r="C22" i="18" s="1"/>
  <c r="D50" i="50"/>
  <c r="H23" i="15" s="1"/>
  <c r="H49" i="50"/>
  <c r="F49" i="50"/>
  <c r="G37" i="50"/>
  <c r="E37" i="50"/>
  <c r="I22" i="15" s="1"/>
  <c r="C21" i="18" s="1"/>
  <c r="D37" i="50"/>
  <c r="H22" i="15" s="1"/>
  <c r="H36" i="50"/>
  <c r="F36" i="50"/>
  <c r="G24" i="50"/>
  <c r="E24" i="50"/>
  <c r="I21" i="15" s="1"/>
  <c r="C20" i="18" s="1"/>
  <c r="D24" i="50"/>
  <c r="H21" i="15" s="1"/>
  <c r="H23" i="50"/>
  <c r="F23" i="50"/>
  <c r="C4" i="49"/>
  <c r="C3" i="49"/>
  <c r="C4" i="48"/>
  <c r="C3" i="48"/>
  <c r="C4" i="47"/>
  <c r="C3" i="47"/>
  <c r="C4" i="46"/>
  <c r="C3" i="46"/>
  <c r="C4" i="45"/>
  <c r="C3" i="45"/>
  <c r="I15" i="15"/>
  <c r="C14" i="18" s="1"/>
  <c r="H15" i="15"/>
  <c r="H28" i="15" l="1"/>
  <c r="H29" i="15"/>
  <c r="F78" i="51"/>
  <c r="I50" i="15"/>
  <c r="J50" i="15" s="1"/>
  <c r="K50" i="15" s="1"/>
  <c r="J22" i="15"/>
  <c r="K22" i="15" s="1"/>
  <c r="J26" i="15"/>
  <c r="K26" i="15" s="1"/>
  <c r="J15" i="15"/>
  <c r="K15" i="15" s="1"/>
  <c r="J23" i="15"/>
  <c r="K23" i="15" s="1"/>
  <c r="J27" i="15"/>
  <c r="K27" i="15" s="1"/>
  <c r="J29" i="15"/>
  <c r="K29" i="15" s="1"/>
  <c r="J24" i="15"/>
  <c r="K24" i="15" s="1"/>
  <c r="J33" i="15"/>
  <c r="K33" i="15" s="1"/>
  <c r="J21" i="15"/>
  <c r="K21" i="15" s="1"/>
  <c r="J25" i="15"/>
  <c r="K25" i="15" s="1"/>
  <c r="J34" i="15"/>
  <c r="K34" i="15" s="1"/>
  <c r="J35" i="15"/>
  <c r="K35" i="15" s="1"/>
  <c r="H40" i="15"/>
  <c r="F97" i="52"/>
  <c r="I41" i="15"/>
  <c r="C34" i="18" s="1"/>
  <c r="I37" i="15"/>
  <c r="H37" i="15"/>
  <c r="J42" i="15"/>
  <c r="K42" i="15" s="1"/>
  <c r="H39" i="15"/>
  <c r="I39" i="15"/>
  <c r="C33" i="18" s="1"/>
  <c r="J36" i="15"/>
  <c r="K36" i="15" s="1"/>
  <c r="H65" i="51"/>
  <c r="F65" i="51"/>
  <c r="E11" i="61"/>
  <c r="I60" i="15" s="1"/>
  <c r="J60" i="15" s="1"/>
  <c r="K60" i="15" s="1"/>
  <c r="H54" i="54"/>
  <c r="F54" i="54"/>
  <c r="H110" i="52"/>
  <c r="F110" i="52"/>
  <c r="H97" i="52"/>
  <c r="H68" i="52"/>
  <c r="F84" i="52"/>
  <c r="H84" i="52"/>
  <c r="F39" i="52"/>
  <c r="F51" i="52"/>
  <c r="E52" i="52"/>
  <c r="H39" i="52"/>
  <c r="H29" i="52"/>
  <c r="E26" i="51"/>
  <c r="E26" i="18" s="1"/>
  <c r="H52" i="51"/>
  <c r="H39" i="51"/>
  <c r="F52" i="51"/>
  <c r="F89" i="50"/>
  <c r="H76" i="50"/>
  <c r="F24" i="50"/>
  <c r="H37" i="50"/>
  <c r="H50" i="50"/>
  <c r="F63" i="50"/>
  <c r="H102" i="50"/>
  <c r="H24" i="50"/>
  <c r="F37" i="50"/>
  <c r="F50" i="50"/>
  <c r="H63" i="50"/>
  <c r="F76" i="50"/>
  <c r="H89" i="50"/>
  <c r="F102" i="50"/>
  <c r="J28" i="15" l="1"/>
  <c r="K28" i="15" s="1"/>
  <c r="C31" i="18"/>
  <c r="J39" i="15"/>
  <c r="K39" i="15" s="1"/>
  <c r="J37" i="15"/>
  <c r="K37" i="15" s="1"/>
  <c r="I40" i="15"/>
  <c r="J41" i="15"/>
  <c r="K41" i="15" s="1"/>
  <c r="F11" i="61"/>
  <c r="H11" i="61"/>
  <c r="F52" i="52"/>
  <c r="H52" i="52"/>
  <c r="H26" i="51"/>
  <c r="I32" i="15"/>
  <c r="C26" i="18" s="1"/>
  <c r="F26" i="51"/>
  <c r="C114" i="55"/>
  <c r="C113" i="55"/>
  <c r="F91" i="55"/>
  <c r="F92" i="55"/>
  <c r="F93" i="55"/>
  <c r="F94" i="55"/>
  <c r="F95" i="55"/>
  <c r="F97" i="55"/>
  <c r="F98" i="55"/>
  <c r="C85" i="55"/>
  <c r="C84" i="55"/>
  <c r="J32" i="15" l="1"/>
  <c r="K32" i="15" s="1"/>
  <c r="J40" i="15"/>
  <c r="K40" i="15" s="1"/>
  <c r="F64" i="55"/>
  <c r="F65" i="55"/>
  <c r="F66" i="55"/>
  <c r="F67" i="55"/>
  <c r="F68" i="55"/>
  <c r="F35" i="55" l="1"/>
  <c r="F36" i="55"/>
  <c r="F37" i="55"/>
  <c r="F38" i="55"/>
  <c r="F39" i="55"/>
  <c r="F40" i="55"/>
  <c r="F41" i="55"/>
  <c r="F42" i="55"/>
  <c r="C56" i="55"/>
  <c r="C57" i="55"/>
  <c r="C29" i="55" l="1"/>
  <c r="C28" i="55"/>
  <c r="C4" i="55"/>
  <c r="C3" i="55"/>
  <c r="F12" i="55"/>
  <c r="F13" i="55"/>
  <c r="F14" i="55"/>
  <c r="F15" i="55"/>
  <c r="F16" i="55"/>
  <c r="F17" i="55"/>
  <c r="F18" i="55"/>
  <c r="F19" i="55"/>
  <c r="F22" i="55"/>
  <c r="F21" i="55"/>
  <c r="F20" i="55"/>
  <c r="G135" i="55"/>
  <c r="E135" i="55"/>
  <c r="D135" i="55"/>
  <c r="H132" i="55"/>
  <c r="F132" i="55"/>
  <c r="H131" i="55"/>
  <c r="F131" i="55"/>
  <c r="H130" i="55"/>
  <c r="F130" i="55"/>
  <c r="H129" i="55"/>
  <c r="H128" i="55"/>
  <c r="H120" i="55"/>
  <c r="F120" i="55"/>
  <c r="H119" i="55"/>
  <c r="F119" i="55"/>
  <c r="G107" i="55"/>
  <c r="D107" i="55"/>
  <c r="H105" i="55"/>
  <c r="F105" i="55"/>
  <c r="H104" i="55"/>
  <c r="F104" i="55"/>
  <c r="H103" i="55"/>
  <c r="F103" i="55"/>
  <c r="H102" i="55"/>
  <c r="F102" i="55"/>
  <c r="H101" i="55"/>
  <c r="F101" i="55"/>
  <c r="H100" i="55"/>
  <c r="F100" i="55"/>
  <c r="H99" i="55"/>
  <c r="F99" i="55"/>
  <c r="H90" i="55"/>
  <c r="F90" i="55"/>
  <c r="G78" i="55"/>
  <c r="H76" i="55"/>
  <c r="F76" i="55"/>
  <c r="H75" i="55"/>
  <c r="F75" i="55"/>
  <c r="H73" i="55"/>
  <c r="F73" i="55"/>
  <c r="H72" i="55"/>
  <c r="F72" i="55"/>
  <c r="H71" i="55"/>
  <c r="F71" i="55"/>
  <c r="H70" i="55"/>
  <c r="F70" i="55"/>
  <c r="H69" i="55"/>
  <c r="F69" i="55"/>
  <c r="H63" i="55"/>
  <c r="F63" i="55"/>
  <c r="H62" i="55"/>
  <c r="F62" i="55"/>
  <c r="G50" i="55"/>
  <c r="E50" i="55"/>
  <c r="D50" i="55"/>
  <c r="H49" i="55"/>
  <c r="F49" i="55"/>
  <c r="H47" i="55"/>
  <c r="F47" i="55"/>
  <c r="H46" i="55"/>
  <c r="F46" i="55"/>
  <c r="H45" i="55"/>
  <c r="F45" i="55"/>
  <c r="H44" i="55"/>
  <c r="F44" i="55"/>
  <c r="H42" i="55"/>
  <c r="H34" i="55"/>
  <c r="F34" i="55"/>
  <c r="I55" i="15" l="1"/>
  <c r="C46" i="18" s="1"/>
  <c r="H55" i="15"/>
  <c r="I54" i="15"/>
  <c r="C45" i="18" s="1"/>
  <c r="H54" i="15"/>
  <c r="I53" i="15"/>
  <c r="C44" i="18" s="1"/>
  <c r="H53" i="15"/>
  <c r="I52" i="15"/>
  <c r="C43" i="18" s="1"/>
  <c r="H52" i="15"/>
  <c r="F135" i="55"/>
  <c r="H50" i="55"/>
  <c r="F78" i="55"/>
  <c r="F107" i="55"/>
  <c r="H107" i="55"/>
  <c r="F50" i="55"/>
  <c r="H135" i="55"/>
  <c r="H78" i="55"/>
  <c r="J52" i="15" l="1"/>
  <c r="K52" i="15" s="1"/>
  <c r="J53" i="15"/>
  <c r="K53" i="15" s="1"/>
  <c r="J55" i="15"/>
  <c r="K55" i="15" s="1"/>
  <c r="J54" i="15"/>
  <c r="K54" i="15" s="1"/>
  <c r="H13" i="15" l="1"/>
  <c r="C17" i="43"/>
  <c r="C16" i="43"/>
  <c r="C4" i="43"/>
  <c r="C3" i="43"/>
  <c r="G23" i="43"/>
  <c r="M14" i="23"/>
  <c r="D23" i="43"/>
  <c r="L14" i="23" s="1"/>
  <c r="H22" i="43"/>
  <c r="F22" i="43"/>
  <c r="C44" i="42"/>
  <c r="C43" i="42"/>
  <c r="C31" i="42"/>
  <c r="C30" i="42"/>
  <c r="C18" i="42"/>
  <c r="C17" i="42"/>
  <c r="I13" i="15" l="1"/>
  <c r="C12" i="18" s="1"/>
  <c r="J12" i="18" s="1"/>
  <c r="H23" i="43"/>
  <c r="F23" i="43"/>
  <c r="J13" i="15" l="1"/>
  <c r="K13" i="15" s="1"/>
  <c r="C4" i="42"/>
  <c r="C3" i="42"/>
  <c r="G50" i="42" l="1"/>
  <c r="E50" i="42"/>
  <c r="I11" i="15" s="1"/>
  <c r="D50" i="42"/>
  <c r="H11" i="15" s="1"/>
  <c r="C31" i="8" s="1"/>
  <c r="H49" i="42"/>
  <c r="F49" i="42"/>
  <c r="G37" i="42"/>
  <c r="E37" i="42"/>
  <c r="I10" i="15" s="1"/>
  <c r="D37" i="42"/>
  <c r="H10" i="15" s="1"/>
  <c r="H36" i="42"/>
  <c r="F36" i="42"/>
  <c r="G24" i="42"/>
  <c r="E24" i="42"/>
  <c r="I9" i="15" s="1"/>
  <c r="D24" i="42"/>
  <c r="H9" i="15" s="1"/>
  <c r="H23" i="42"/>
  <c r="F23" i="42"/>
  <c r="G43" i="60"/>
  <c r="E43" i="60"/>
  <c r="D43" i="60"/>
  <c r="H63" i="15" s="1"/>
  <c r="H42" i="60"/>
  <c r="F42" i="60"/>
  <c r="H41" i="60"/>
  <c r="F41" i="60"/>
  <c r="H40" i="60"/>
  <c r="F40" i="60"/>
  <c r="H39" i="60"/>
  <c r="F39" i="60"/>
  <c r="H38" i="60"/>
  <c r="F38" i="60"/>
  <c r="H37" i="60"/>
  <c r="F37" i="60"/>
  <c r="H36" i="60"/>
  <c r="F36" i="60"/>
  <c r="H10" i="60"/>
  <c r="F10" i="60"/>
  <c r="H9" i="60"/>
  <c r="F9" i="60"/>
  <c r="G18" i="59"/>
  <c r="E18" i="59"/>
  <c r="D18" i="59"/>
  <c r="H61" i="15" s="1"/>
  <c r="H17" i="59"/>
  <c r="F17" i="59"/>
  <c r="H16" i="59"/>
  <c r="F16" i="59"/>
  <c r="H15" i="59"/>
  <c r="F15" i="59"/>
  <c r="H14" i="59"/>
  <c r="F14" i="59"/>
  <c r="H13" i="59"/>
  <c r="F13" i="59"/>
  <c r="H12" i="59"/>
  <c r="F12" i="59"/>
  <c r="H11" i="59"/>
  <c r="F11" i="59"/>
  <c r="H10" i="59"/>
  <c r="F10" i="59"/>
  <c r="H9" i="59"/>
  <c r="F9" i="59"/>
  <c r="G14" i="58"/>
  <c r="E14" i="58"/>
  <c r="D14" i="58"/>
  <c r="H59" i="15" s="1"/>
  <c r="H13" i="58"/>
  <c r="F13" i="58"/>
  <c r="H12" i="58"/>
  <c r="F12" i="58"/>
  <c r="H11" i="58"/>
  <c r="F11" i="58"/>
  <c r="H10" i="58"/>
  <c r="F10" i="58"/>
  <c r="H9" i="58"/>
  <c r="F9" i="58"/>
  <c r="G20" i="57"/>
  <c r="E20" i="57"/>
  <c r="D20" i="57"/>
  <c r="H58" i="15" s="1"/>
  <c r="H19" i="57"/>
  <c r="F19" i="57"/>
  <c r="H18" i="57"/>
  <c r="F18" i="57"/>
  <c r="H17" i="57"/>
  <c r="F17" i="57"/>
  <c r="H10" i="57"/>
  <c r="F10" i="57"/>
  <c r="H9" i="57"/>
  <c r="F9" i="57"/>
  <c r="G15" i="56"/>
  <c r="E15" i="56"/>
  <c r="D15" i="56"/>
  <c r="H57" i="15" s="1"/>
  <c r="H14" i="56"/>
  <c r="F14" i="56"/>
  <c r="H13" i="56"/>
  <c r="F13" i="56"/>
  <c r="H12" i="56"/>
  <c r="F12" i="56"/>
  <c r="H11" i="56"/>
  <c r="F11" i="56"/>
  <c r="H10" i="56"/>
  <c r="F10" i="56"/>
  <c r="H9" i="56"/>
  <c r="F9" i="56"/>
  <c r="G23" i="55"/>
  <c r="E23" i="55"/>
  <c r="D23" i="55"/>
  <c r="H22" i="55"/>
  <c r="H21" i="55"/>
  <c r="H20" i="55"/>
  <c r="H19" i="55"/>
  <c r="H18" i="55"/>
  <c r="H17" i="55"/>
  <c r="H11" i="55"/>
  <c r="F11" i="55"/>
  <c r="H10" i="55"/>
  <c r="F10" i="55"/>
  <c r="H9" i="55"/>
  <c r="F9" i="55"/>
  <c r="G40" i="54"/>
  <c r="E40" i="54"/>
  <c r="I49" i="15" s="1"/>
  <c r="D40" i="54"/>
  <c r="H49" i="15" s="1"/>
  <c r="H9" i="54"/>
  <c r="F9" i="54"/>
  <c r="G12" i="53"/>
  <c r="E12" i="53"/>
  <c r="D12" i="53"/>
  <c r="H48" i="15" s="1"/>
  <c r="H11" i="53"/>
  <c r="F11" i="53"/>
  <c r="H10" i="53"/>
  <c r="F10" i="53"/>
  <c r="H9" i="53"/>
  <c r="F9" i="53"/>
  <c r="G16" i="52"/>
  <c r="E16" i="52"/>
  <c r="D16" i="52"/>
  <c r="H15" i="52"/>
  <c r="F15" i="52"/>
  <c r="H14" i="52"/>
  <c r="F14" i="52"/>
  <c r="H13" i="52"/>
  <c r="F13" i="52"/>
  <c r="H12" i="52"/>
  <c r="F12" i="52"/>
  <c r="H11" i="52"/>
  <c r="F11" i="52"/>
  <c r="H10" i="52"/>
  <c r="F10" i="52"/>
  <c r="H9" i="52"/>
  <c r="F9" i="52"/>
  <c r="G12" i="51"/>
  <c r="E12" i="51"/>
  <c r="D12" i="51"/>
  <c r="H31" i="15" s="1"/>
  <c r="H11" i="51"/>
  <c r="F11" i="51"/>
  <c r="H10" i="51"/>
  <c r="F10" i="51"/>
  <c r="H9" i="51"/>
  <c r="G12" i="50"/>
  <c r="E12" i="50"/>
  <c r="I20" i="15" s="1"/>
  <c r="C19" i="18" s="1"/>
  <c r="D12" i="50"/>
  <c r="H20" i="15" s="1"/>
  <c r="H11" i="50"/>
  <c r="F11" i="50"/>
  <c r="H10" i="50"/>
  <c r="F10" i="50"/>
  <c r="H9" i="50"/>
  <c r="F9" i="50"/>
  <c r="G10" i="49"/>
  <c r="E10" i="49"/>
  <c r="I19" i="15" s="1"/>
  <c r="D10" i="49"/>
  <c r="H19" i="15" s="1"/>
  <c r="H9" i="49"/>
  <c r="F9" i="49"/>
  <c r="G10" i="48"/>
  <c r="E10" i="48"/>
  <c r="I18" i="15" s="1"/>
  <c r="D10" i="48"/>
  <c r="H18" i="15" s="1"/>
  <c r="H9" i="48"/>
  <c r="F9" i="48"/>
  <c r="G10" i="47"/>
  <c r="E10" i="47"/>
  <c r="D10" i="47"/>
  <c r="H17" i="15" s="1"/>
  <c r="H9" i="47"/>
  <c r="F9" i="47"/>
  <c r="G11" i="46"/>
  <c r="E11" i="46"/>
  <c r="I16" i="15" s="1"/>
  <c r="D11" i="46"/>
  <c r="H16" i="15" s="1"/>
  <c r="H10" i="46"/>
  <c r="F10" i="46"/>
  <c r="H9" i="46"/>
  <c r="F9" i="46"/>
  <c r="G11" i="45"/>
  <c r="F11" i="45"/>
  <c r="H9" i="45"/>
  <c r="F9" i="45"/>
  <c r="G11" i="44"/>
  <c r="E11" i="44"/>
  <c r="D11" i="44"/>
  <c r="H14" i="15" s="1"/>
  <c r="H10" i="44"/>
  <c r="F10" i="44"/>
  <c r="H9" i="44"/>
  <c r="F9" i="44"/>
  <c r="G10" i="43"/>
  <c r="E10" i="43"/>
  <c r="I12" i="15" s="1"/>
  <c r="C11" i="18" s="1"/>
  <c r="D10" i="43"/>
  <c r="H12" i="15" s="1"/>
  <c r="H9" i="43"/>
  <c r="F9" i="43"/>
  <c r="G11" i="42"/>
  <c r="E11" i="42"/>
  <c r="I8" i="15" s="1"/>
  <c r="D11" i="42"/>
  <c r="H8" i="15" s="1"/>
  <c r="H10" i="42"/>
  <c r="F10" i="42"/>
  <c r="H9" i="42"/>
  <c r="F9" i="42"/>
  <c r="C18" i="18" l="1"/>
  <c r="J19" i="15"/>
  <c r="C9" i="18"/>
  <c r="K9" i="18" s="1"/>
  <c r="J10" i="15"/>
  <c r="C15" i="18"/>
  <c r="J16" i="15"/>
  <c r="K16" i="15" s="1"/>
  <c r="H10" i="49"/>
  <c r="C10" i="18"/>
  <c r="J11" i="15"/>
  <c r="D31" i="8"/>
  <c r="C17" i="18"/>
  <c r="J18" i="15"/>
  <c r="F20" i="57"/>
  <c r="I58" i="15"/>
  <c r="J58" i="15" s="1"/>
  <c r="K58" i="15" s="1"/>
  <c r="D32" i="8"/>
  <c r="C8" i="18"/>
  <c r="K8" i="18" s="1"/>
  <c r="J9" i="15"/>
  <c r="F10" i="47"/>
  <c r="I17" i="15"/>
  <c r="C32" i="8"/>
  <c r="I14" i="15"/>
  <c r="H51" i="15"/>
  <c r="J49" i="15"/>
  <c r="K49" i="15" s="1"/>
  <c r="J20" i="15"/>
  <c r="J12" i="15"/>
  <c r="H38" i="15"/>
  <c r="I61" i="15"/>
  <c r="C50" i="18" s="1"/>
  <c r="R50" i="18" s="1"/>
  <c r="I57" i="15"/>
  <c r="C48" i="18" s="1"/>
  <c r="I51" i="15"/>
  <c r="I48" i="15"/>
  <c r="C41" i="18" s="1"/>
  <c r="I31" i="15"/>
  <c r="C25" i="18" s="1"/>
  <c r="H43" i="60"/>
  <c r="I59" i="15"/>
  <c r="C49" i="18" s="1"/>
  <c r="R49" i="18" s="1"/>
  <c r="I38" i="15"/>
  <c r="C32" i="18" s="1"/>
  <c r="I63" i="15"/>
  <c r="C52" i="18" s="1"/>
  <c r="R52" i="18" s="1"/>
  <c r="H18" i="59"/>
  <c r="F18" i="59"/>
  <c r="H14" i="58"/>
  <c r="F14" i="58"/>
  <c r="H20" i="57"/>
  <c r="F40" i="54"/>
  <c r="H40" i="54"/>
  <c r="H12" i="53"/>
  <c r="F12" i="53"/>
  <c r="H16" i="52"/>
  <c r="F16" i="52"/>
  <c r="H12" i="51"/>
  <c r="F12" i="51"/>
  <c r="H12" i="50"/>
  <c r="F12" i="50"/>
  <c r="F10" i="49"/>
  <c r="F10" i="48"/>
  <c r="H10" i="48"/>
  <c r="H10" i="47"/>
  <c r="F43" i="60"/>
  <c r="H23" i="55"/>
  <c r="F23" i="55"/>
  <c r="H15" i="56"/>
  <c r="F15" i="56"/>
  <c r="F11" i="46"/>
  <c r="H11" i="46"/>
  <c r="H11" i="45"/>
  <c r="H11" i="44"/>
  <c r="F11" i="44"/>
  <c r="F10" i="43"/>
  <c r="H10" i="43"/>
  <c r="F24" i="42"/>
  <c r="F37" i="42"/>
  <c r="H37" i="42"/>
  <c r="H50" i="42"/>
  <c r="F50" i="42"/>
  <c r="H24" i="42"/>
  <c r="H11" i="42"/>
  <c r="F11" i="42"/>
  <c r="K18" i="15" l="1"/>
  <c r="K10" i="15"/>
  <c r="K19" i="15"/>
  <c r="C16" i="18"/>
  <c r="J17" i="15"/>
  <c r="K9" i="15"/>
  <c r="K11" i="15"/>
  <c r="K20" i="15"/>
  <c r="C42" i="18"/>
  <c r="E12" i="23"/>
  <c r="K12" i="15"/>
  <c r="C13" i="18"/>
  <c r="J14" i="15"/>
  <c r="J63" i="15"/>
  <c r="K63" i="15" s="1"/>
  <c r="J31" i="15"/>
  <c r="K31" i="15" s="1"/>
  <c r="J48" i="15"/>
  <c r="K48" i="15" s="1"/>
  <c r="J57" i="15"/>
  <c r="K57" i="15" s="1"/>
  <c r="J59" i="15"/>
  <c r="K59" i="15" s="1"/>
  <c r="J61" i="15"/>
  <c r="K61" i="15" s="1"/>
  <c r="J51" i="15"/>
  <c r="K51" i="15" s="1"/>
  <c r="J38" i="15"/>
  <c r="K38" i="15" s="1"/>
  <c r="C24" i="8"/>
  <c r="K17" i="15" l="1"/>
  <c r="K14" i="15"/>
  <c r="B5" i="40"/>
  <c r="C5" i="40"/>
  <c r="E5" i="40"/>
  <c r="F5" i="40"/>
  <c r="H5" i="40"/>
  <c r="I5" i="40"/>
  <c r="B6" i="40"/>
  <c r="C6" i="40"/>
  <c r="E6" i="40"/>
  <c r="F6" i="40"/>
  <c r="H6" i="40"/>
  <c r="I6" i="40"/>
  <c r="B7" i="40"/>
  <c r="C7" i="40"/>
  <c r="E7" i="40"/>
  <c r="F7" i="40"/>
  <c r="H7" i="40"/>
  <c r="I7" i="40"/>
  <c r="B8" i="40"/>
  <c r="C8" i="40"/>
  <c r="D8" i="40" s="1"/>
  <c r="E8" i="40"/>
  <c r="F8" i="40"/>
  <c r="H8" i="40"/>
  <c r="I8" i="40"/>
  <c r="B9" i="40"/>
  <c r="C9" i="40"/>
  <c r="E9" i="40"/>
  <c r="F9" i="40"/>
  <c r="H9" i="40"/>
  <c r="I9" i="40"/>
  <c r="B10" i="40"/>
  <c r="C10" i="40"/>
  <c r="E10" i="40"/>
  <c r="F10" i="40"/>
  <c r="H10" i="40"/>
  <c r="I10" i="40"/>
  <c r="B11" i="40"/>
  <c r="C11" i="40"/>
  <c r="E11" i="40"/>
  <c r="F11" i="40"/>
  <c r="H11" i="40"/>
  <c r="I11" i="40"/>
  <c r="B12" i="40"/>
  <c r="C12" i="40"/>
  <c r="E12" i="40"/>
  <c r="F12" i="40"/>
  <c r="H12" i="40"/>
  <c r="I12" i="40"/>
  <c r="B13" i="40"/>
  <c r="C13" i="40"/>
  <c r="E13" i="40"/>
  <c r="F13" i="40"/>
  <c r="H13" i="40"/>
  <c r="I13" i="40"/>
  <c r="B14" i="40"/>
  <c r="C14" i="40"/>
  <c r="E14" i="40"/>
  <c r="F14" i="40"/>
  <c r="H14" i="40"/>
  <c r="I14" i="40"/>
  <c r="B15" i="40"/>
  <c r="C15" i="40"/>
  <c r="E15" i="40"/>
  <c r="F15" i="40"/>
  <c r="H15" i="40"/>
  <c r="I15" i="40"/>
  <c r="B16" i="40"/>
  <c r="D16" i="40" s="1"/>
  <c r="C16" i="40"/>
  <c r="E16" i="40"/>
  <c r="F16" i="40"/>
  <c r="H16" i="40"/>
  <c r="I16" i="40"/>
  <c r="B17" i="40"/>
  <c r="C17" i="40"/>
  <c r="D17" i="40"/>
  <c r="E17" i="40"/>
  <c r="F17" i="40"/>
  <c r="H17" i="40"/>
  <c r="I17" i="40"/>
  <c r="B18" i="40"/>
  <c r="C18" i="40"/>
  <c r="E18" i="40"/>
  <c r="F18" i="40"/>
  <c r="H18" i="40"/>
  <c r="I18" i="40"/>
  <c r="B19" i="40"/>
  <c r="C19" i="40"/>
  <c r="E19" i="40"/>
  <c r="F19" i="40"/>
  <c r="H19" i="40"/>
  <c r="I19" i="40"/>
  <c r="B20" i="40"/>
  <c r="C20" i="40"/>
  <c r="E20" i="40"/>
  <c r="F20" i="40"/>
  <c r="H20" i="40"/>
  <c r="I20" i="40"/>
  <c r="B21" i="40"/>
  <c r="C21" i="40"/>
  <c r="E21" i="40"/>
  <c r="F21" i="40"/>
  <c r="H21" i="40"/>
  <c r="I21" i="40"/>
  <c r="B22" i="40"/>
  <c r="C22" i="40"/>
  <c r="E22" i="40"/>
  <c r="F22" i="40"/>
  <c r="H22" i="40"/>
  <c r="I22" i="40"/>
  <c r="B23" i="40"/>
  <c r="C23" i="40"/>
  <c r="E23" i="40"/>
  <c r="F23" i="40"/>
  <c r="H23" i="40"/>
  <c r="I23" i="40"/>
  <c r="B24" i="40"/>
  <c r="D24" i="40" s="1"/>
  <c r="C24" i="40"/>
  <c r="E24" i="40"/>
  <c r="F24" i="40"/>
  <c r="H24" i="40"/>
  <c r="I24" i="40"/>
  <c r="B25" i="40"/>
  <c r="C25" i="40"/>
  <c r="D25" i="40" s="1"/>
  <c r="E25" i="40"/>
  <c r="F25" i="40"/>
  <c r="H25" i="40"/>
  <c r="I25" i="40"/>
  <c r="B26" i="40"/>
  <c r="C26" i="40"/>
  <c r="E26" i="40"/>
  <c r="F26" i="40"/>
  <c r="H26" i="40"/>
  <c r="I26" i="40"/>
  <c r="B27" i="40"/>
  <c r="C27" i="40"/>
  <c r="E27" i="40"/>
  <c r="F27" i="40"/>
  <c r="H27" i="40"/>
  <c r="I27" i="40"/>
  <c r="B28" i="40"/>
  <c r="C28" i="40"/>
  <c r="E28" i="40"/>
  <c r="G28" i="40" s="1"/>
  <c r="F28" i="40"/>
  <c r="H28" i="40"/>
  <c r="I28" i="40"/>
  <c r="B29" i="40"/>
  <c r="D29" i="40" s="1"/>
  <c r="C29" i="40"/>
  <c r="E29" i="40"/>
  <c r="F29" i="40"/>
  <c r="H29" i="40"/>
  <c r="I29" i="40"/>
  <c r="B30" i="40"/>
  <c r="C30" i="40"/>
  <c r="E30" i="40"/>
  <c r="F30" i="40"/>
  <c r="H30" i="40"/>
  <c r="I30" i="40"/>
  <c r="I4" i="40"/>
  <c r="H4" i="40"/>
  <c r="F4" i="40"/>
  <c r="E4" i="40"/>
  <c r="C4" i="40"/>
  <c r="B4" i="40"/>
  <c r="T8" i="18"/>
  <c r="U8" i="18"/>
  <c r="T9" i="18"/>
  <c r="U9" i="18"/>
  <c r="T10" i="18"/>
  <c r="U10" i="18"/>
  <c r="T11" i="18"/>
  <c r="U11" i="18"/>
  <c r="T12" i="18"/>
  <c r="U12" i="18"/>
  <c r="T13" i="18"/>
  <c r="U13" i="18"/>
  <c r="T14" i="18"/>
  <c r="U14" i="18"/>
  <c r="T15" i="18"/>
  <c r="U15" i="18"/>
  <c r="T16" i="18"/>
  <c r="U16" i="18"/>
  <c r="T17" i="18"/>
  <c r="U17" i="18"/>
  <c r="T18" i="18"/>
  <c r="U18" i="18"/>
  <c r="T19" i="18"/>
  <c r="U19" i="18"/>
  <c r="T20" i="18"/>
  <c r="U20" i="18"/>
  <c r="T21" i="18"/>
  <c r="U21" i="18"/>
  <c r="T22" i="18"/>
  <c r="U22" i="18"/>
  <c r="T23" i="18"/>
  <c r="U23" i="18"/>
  <c r="T24" i="18"/>
  <c r="U24" i="18"/>
  <c r="T25" i="18"/>
  <c r="U25" i="18"/>
  <c r="T26" i="18"/>
  <c r="U26" i="18"/>
  <c r="T27" i="18"/>
  <c r="U27" i="18"/>
  <c r="T28" i="18"/>
  <c r="U28" i="18"/>
  <c r="T29" i="18"/>
  <c r="U29" i="18"/>
  <c r="T30" i="18"/>
  <c r="U30" i="18"/>
  <c r="T31" i="18"/>
  <c r="U31" i="18"/>
  <c r="T32" i="18"/>
  <c r="U32" i="18"/>
  <c r="T33" i="18"/>
  <c r="U33" i="18"/>
  <c r="T34" i="18"/>
  <c r="U34" i="18"/>
  <c r="T35" i="18"/>
  <c r="U35" i="18"/>
  <c r="T36" i="18"/>
  <c r="U36" i="18"/>
  <c r="T37" i="18"/>
  <c r="U37" i="18"/>
  <c r="T38" i="18"/>
  <c r="U38" i="18"/>
  <c r="T41" i="18"/>
  <c r="U41" i="18"/>
  <c r="T42" i="18"/>
  <c r="U42" i="18"/>
  <c r="T43" i="18"/>
  <c r="U43" i="18"/>
  <c r="T44" i="18"/>
  <c r="U44" i="18"/>
  <c r="T45" i="18"/>
  <c r="U45" i="18"/>
  <c r="T46" i="18"/>
  <c r="U46" i="18"/>
  <c r="T47" i="18"/>
  <c r="U47" i="18"/>
  <c r="T48" i="18"/>
  <c r="U48" i="18"/>
  <c r="T52" i="18"/>
  <c r="U52" i="18"/>
  <c r="U7" i="18"/>
  <c r="T7" i="18"/>
  <c r="E24" i="23"/>
  <c r="D24" i="23"/>
  <c r="H24" i="23"/>
  <c r="H12" i="23"/>
  <c r="C30" i="8"/>
  <c r="C28" i="8"/>
  <c r="P14" i="23"/>
  <c r="H14" i="23"/>
  <c r="H16" i="23"/>
  <c r="H20" i="23"/>
  <c r="H8" i="23"/>
  <c r="H6" i="23"/>
  <c r="J8" i="15"/>
  <c r="AK2" i="40"/>
  <c r="AK27" i="40" s="1"/>
  <c r="C32" i="40"/>
  <c r="D32" i="40" s="1"/>
  <c r="E32" i="40" s="1"/>
  <c r="F32" i="40" s="1"/>
  <c r="G32" i="40" s="1"/>
  <c r="H32" i="40" s="1"/>
  <c r="I32" i="40" s="1"/>
  <c r="J32" i="40" s="1"/>
  <c r="K32" i="40" s="1"/>
  <c r="L32" i="40" s="1"/>
  <c r="M32" i="40" s="1"/>
  <c r="N32" i="40" s="1"/>
  <c r="O32" i="40" s="1"/>
  <c r="P32" i="40" s="1"/>
  <c r="Q32" i="40" s="1"/>
  <c r="R32" i="40" s="1"/>
  <c r="S32" i="40" s="1"/>
  <c r="T32" i="40" s="1"/>
  <c r="U32" i="40" s="1"/>
  <c r="V32" i="40" s="1"/>
  <c r="W32" i="40" s="1"/>
  <c r="X32" i="40" s="1"/>
  <c r="Y32" i="40" s="1"/>
  <c r="Z32" i="40" s="1"/>
  <c r="AA32" i="40" s="1"/>
  <c r="AB32" i="40" s="1"/>
  <c r="AC32" i="40" s="1"/>
  <c r="AD32" i="40" s="1"/>
  <c r="AE32" i="40" s="1"/>
  <c r="AF32" i="40" s="1"/>
  <c r="AG32" i="40" s="1"/>
  <c r="AH32" i="40" s="1"/>
  <c r="C4" i="41"/>
  <c r="D4" i="41"/>
  <c r="E4" i="41"/>
  <c r="F4" i="41"/>
  <c r="G4" i="41"/>
  <c r="H4" i="41"/>
  <c r="C5" i="41"/>
  <c r="D5" i="41"/>
  <c r="E5" i="41"/>
  <c r="F5" i="41"/>
  <c r="G5" i="41"/>
  <c r="H5" i="41"/>
  <c r="C6" i="41"/>
  <c r="D6" i="41"/>
  <c r="E6" i="41"/>
  <c r="F6" i="41"/>
  <c r="G6" i="41"/>
  <c r="H6" i="41"/>
  <c r="C7" i="41"/>
  <c r="D7" i="41"/>
  <c r="E7" i="41"/>
  <c r="F7" i="41"/>
  <c r="G7" i="41"/>
  <c r="H7" i="41"/>
  <c r="C8" i="41"/>
  <c r="D8" i="41"/>
  <c r="E8" i="41"/>
  <c r="F8" i="41"/>
  <c r="G8" i="41"/>
  <c r="H8" i="41"/>
  <c r="C9" i="41"/>
  <c r="D9" i="41"/>
  <c r="E9" i="41"/>
  <c r="F9" i="41"/>
  <c r="G9" i="41"/>
  <c r="H9" i="41"/>
  <c r="C10" i="41"/>
  <c r="D10" i="41"/>
  <c r="E10" i="41"/>
  <c r="F10" i="41"/>
  <c r="G10" i="41"/>
  <c r="H10" i="41"/>
  <c r="C11" i="41"/>
  <c r="D11" i="41"/>
  <c r="E11" i="41"/>
  <c r="F11" i="41"/>
  <c r="G11" i="41"/>
  <c r="H11" i="41"/>
  <c r="C12" i="41"/>
  <c r="D12" i="41"/>
  <c r="E12" i="41"/>
  <c r="F12" i="41"/>
  <c r="G12" i="41"/>
  <c r="H12" i="41"/>
  <c r="C13" i="41"/>
  <c r="D13" i="41"/>
  <c r="E13" i="41"/>
  <c r="F13" i="41"/>
  <c r="G13" i="41"/>
  <c r="H13" i="41"/>
  <c r="C14" i="41"/>
  <c r="D14" i="41"/>
  <c r="E14" i="41"/>
  <c r="F14" i="41"/>
  <c r="G14" i="41"/>
  <c r="H14" i="41"/>
  <c r="C15" i="41"/>
  <c r="D15" i="41"/>
  <c r="E15" i="41"/>
  <c r="F15" i="41"/>
  <c r="G15" i="41"/>
  <c r="H15" i="41"/>
  <c r="C16" i="41"/>
  <c r="D16" i="41"/>
  <c r="E16" i="41"/>
  <c r="F16" i="41"/>
  <c r="G16" i="41"/>
  <c r="H16" i="41"/>
  <c r="C17" i="41"/>
  <c r="D17" i="41"/>
  <c r="E17" i="41"/>
  <c r="F17" i="41"/>
  <c r="G17" i="41"/>
  <c r="H17" i="41"/>
  <c r="C18" i="41"/>
  <c r="D18" i="41"/>
  <c r="E18" i="41"/>
  <c r="F18" i="41"/>
  <c r="G18" i="41"/>
  <c r="H18" i="41"/>
  <c r="H3" i="41"/>
  <c r="G3" i="41"/>
  <c r="F3" i="41"/>
  <c r="E3" i="41"/>
  <c r="D3" i="41"/>
  <c r="C3" i="41"/>
  <c r="I4" i="41"/>
  <c r="D28" i="40" l="1"/>
  <c r="D13" i="40"/>
  <c r="D11" i="40"/>
  <c r="D9" i="40"/>
  <c r="D10" i="40"/>
  <c r="G24" i="40"/>
  <c r="D21" i="40"/>
  <c r="D20" i="40"/>
  <c r="G9" i="40"/>
  <c r="D26" i="40"/>
  <c r="G25" i="40"/>
  <c r="D23" i="40"/>
  <c r="D18" i="40"/>
  <c r="G17" i="40"/>
  <c r="D15" i="40"/>
  <c r="D6" i="40"/>
  <c r="G5" i="40"/>
  <c r="D30" i="40"/>
  <c r="G29" i="40"/>
  <c r="D27" i="40"/>
  <c r="D22" i="40"/>
  <c r="G21" i="40"/>
  <c r="D19" i="40"/>
  <c r="D14" i="40"/>
  <c r="G13" i="40"/>
  <c r="D12" i="40"/>
  <c r="D7" i="40"/>
  <c r="D5" i="40"/>
  <c r="K8" i="15"/>
  <c r="G27" i="40"/>
  <c r="G23" i="40"/>
  <c r="G19" i="40"/>
  <c r="G15" i="40"/>
  <c r="G11" i="40"/>
  <c r="G7" i="40"/>
  <c r="G20" i="40"/>
  <c r="G16" i="40"/>
  <c r="G12" i="40"/>
  <c r="G8" i="40"/>
  <c r="G30" i="40"/>
  <c r="G26" i="40"/>
  <c r="G22" i="40"/>
  <c r="G18" i="40"/>
  <c r="G14" i="40"/>
  <c r="G10" i="40"/>
  <c r="G6" i="40"/>
  <c r="J9" i="41"/>
  <c r="I7" i="41"/>
  <c r="J5" i="41"/>
  <c r="J15" i="41"/>
  <c r="J17" i="41"/>
  <c r="J13" i="41"/>
  <c r="J11" i="41"/>
  <c r="J7" i="41"/>
  <c r="I8" i="41"/>
  <c r="I11" i="41"/>
  <c r="I12" i="41"/>
  <c r="I16" i="41"/>
  <c r="I15" i="41"/>
  <c r="I9" i="41"/>
  <c r="I5" i="41"/>
  <c r="I13" i="41"/>
  <c r="I14" i="41"/>
  <c r="I10" i="41"/>
  <c r="I6" i="41"/>
  <c r="I18" i="41"/>
  <c r="J18" i="41"/>
  <c r="J16" i="41"/>
  <c r="J14" i="41"/>
  <c r="J12" i="41"/>
  <c r="J10" i="41"/>
  <c r="J8" i="41"/>
  <c r="J6" i="41"/>
  <c r="J4" i="41"/>
  <c r="I17" i="41"/>
  <c r="J3" i="41"/>
  <c r="I3" i="41"/>
  <c r="D19" i="41"/>
  <c r="C19" i="41"/>
  <c r="F19" i="41" l="1"/>
  <c r="E19" i="41"/>
  <c r="I19" i="41" l="1"/>
  <c r="J19" i="41"/>
  <c r="G19" i="41"/>
  <c r="H19" i="41"/>
  <c r="Z5" i="40"/>
  <c r="AA5" i="40"/>
  <c r="AB5" i="40"/>
  <c r="Z6" i="40"/>
  <c r="AA6" i="40"/>
  <c r="AB6" i="40"/>
  <c r="Z7" i="40"/>
  <c r="AA7" i="40"/>
  <c r="AB7" i="40"/>
  <c r="Z8" i="40"/>
  <c r="AA8" i="40"/>
  <c r="AB8" i="40"/>
  <c r="Z9" i="40"/>
  <c r="AA9" i="40"/>
  <c r="AB9" i="40"/>
  <c r="Z10" i="40"/>
  <c r="AA10" i="40"/>
  <c r="AB10" i="40"/>
  <c r="Z11" i="40"/>
  <c r="AA11" i="40"/>
  <c r="AB11" i="40"/>
  <c r="Z12" i="40"/>
  <c r="AA12" i="40"/>
  <c r="AB12" i="40"/>
  <c r="Z13" i="40"/>
  <c r="AA13" i="40"/>
  <c r="AB13" i="40"/>
  <c r="Z14" i="40"/>
  <c r="AA14" i="40"/>
  <c r="AB14" i="40"/>
  <c r="Z15" i="40"/>
  <c r="AA15" i="40"/>
  <c r="AB15" i="40"/>
  <c r="Z16" i="40"/>
  <c r="AA16" i="40"/>
  <c r="AB16" i="40"/>
  <c r="Z17" i="40"/>
  <c r="AA17" i="40"/>
  <c r="AB17" i="40"/>
  <c r="Z18" i="40"/>
  <c r="AA18" i="40"/>
  <c r="AB18" i="40"/>
  <c r="Z19" i="40"/>
  <c r="AA19" i="40"/>
  <c r="AB19" i="40"/>
  <c r="Z20" i="40"/>
  <c r="AA20" i="40"/>
  <c r="AB20" i="40"/>
  <c r="Z21" i="40"/>
  <c r="AA21" i="40"/>
  <c r="AB21" i="40"/>
  <c r="Z22" i="40"/>
  <c r="AA22" i="40"/>
  <c r="AB22" i="40"/>
  <c r="Z23" i="40"/>
  <c r="AA23" i="40"/>
  <c r="AB23" i="40"/>
  <c r="Z24" i="40"/>
  <c r="AA24" i="40"/>
  <c r="AB24" i="40"/>
  <c r="Z25" i="40"/>
  <c r="AA25" i="40"/>
  <c r="AB25" i="40"/>
  <c r="Z26" i="40"/>
  <c r="AA26" i="40"/>
  <c r="AB26" i="40"/>
  <c r="Z27" i="40"/>
  <c r="AA27" i="40"/>
  <c r="AB27" i="40"/>
  <c r="Z28" i="40"/>
  <c r="AA28" i="40"/>
  <c r="AB28" i="40"/>
  <c r="Z29" i="40"/>
  <c r="AK22" i="40" s="1"/>
  <c r="AA29" i="40"/>
  <c r="AK23" i="40" s="1"/>
  <c r="H86" i="39" s="1"/>
  <c r="AB29" i="40"/>
  <c r="AK24" i="40" s="1"/>
  <c r="H71" i="39" s="1"/>
  <c r="Z30" i="40"/>
  <c r="AA30" i="40"/>
  <c r="AB30" i="40"/>
  <c r="AA4" i="40"/>
  <c r="AB4" i="40"/>
  <c r="Z4" i="40"/>
  <c r="Y5" i="40"/>
  <c r="Y6" i="40"/>
  <c r="Y7" i="40"/>
  <c r="Y8" i="40"/>
  <c r="Y9" i="40"/>
  <c r="Y10" i="40"/>
  <c r="Y11" i="40"/>
  <c r="Y12" i="40"/>
  <c r="Y13" i="40"/>
  <c r="Y14" i="40"/>
  <c r="Y15" i="40"/>
  <c r="Y16" i="40"/>
  <c r="Y17" i="40"/>
  <c r="Y18" i="40"/>
  <c r="Y19" i="40"/>
  <c r="Y20" i="40"/>
  <c r="Y21" i="40"/>
  <c r="Y22" i="40"/>
  <c r="Y23" i="40"/>
  <c r="Y24" i="40"/>
  <c r="Y25" i="40"/>
  <c r="Y26" i="40"/>
  <c r="Y27" i="40"/>
  <c r="Y28" i="40"/>
  <c r="Y29" i="40"/>
  <c r="Y30" i="40"/>
  <c r="Y4" i="40"/>
  <c r="X5" i="40"/>
  <c r="X6" i="40"/>
  <c r="X7" i="40"/>
  <c r="X8" i="40"/>
  <c r="X9" i="40"/>
  <c r="X10" i="40"/>
  <c r="X11" i="40"/>
  <c r="X12" i="40"/>
  <c r="X13" i="40"/>
  <c r="X14" i="40"/>
  <c r="X15" i="40"/>
  <c r="X16" i="40"/>
  <c r="X17" i="40"/>
  <c r="X18" i="40"/>
  <c r="X19" i="40"/>
  <c r="X20" i="40"/>
  <c r="X21" i="40"/>
  <c r="X22" i="40"/>
  <c r="X23" i="40"/>
  <c r="X24" i="40"/>
  <c r="X25" i="40"/>
  <c r="X26" i="40"/>
  <c r="X27" i="40"/>
  <c r="X28" i="40"/>
  <c r="X29" i="40"/>
  <c r="X30" i="40"/>
  <c r="X4" i="40"/>
  <c r="W5" i="40"/>
  <c r="W6" i="40"/>
  <c r="W7" i="40"/>
  <c r="W8" i="40"/>
  <c r="W9" i="40"/>
  <c r="W10" i="40"/>
  <c r="W11" i="40"/>
  <c r="W12" i="40"/>
  <c r="W13" i="40"/>
  <c r="W14" i="40"/>
  <c r="W15" i="40"/>
  <c r="W16" i="40"/>
  <c r="W17" i="40"/>
  <c r="W18" i="40"/>
  <c r="W19" i="40"/>
  <c r="W20" i="40"/>
  <c r="W21" i="40"/>
  <c r="W22" i="40"/>
  <c r="W23" i="40"/>
  <c r="W24" i="40"/>
  <c r="W25" i="40"/>
  <c r="W26" i="40"/>
  <c r="W27" i="40"/>
  <c r="W28" i="40"/>
  <c r="W29" i="40"/>
  <c r="W30" i="40"/>
  <c r="W4" i="40"/>
  <c r="U24" i="40"/>
  <c r="U5" i="40"/>
  <c r="U6" i="40"/>
  <c r="U7" i="40"/>
  <c r="U8" i="40"/>
  <c r="U9" i="40"/>
  <c r="U10" i="40"/>
  <c r="U11" i="40"/>
  <c r="U12" i="40"/>
  <c r="U13" i="40"/>
  <c r="U14" i="40"/>
  <c r="U15" i="40"/>
  <c r="U16" i="40"/>
  <c r="U17" i="40"/>
  <c r="U18" i="40"/>
  <c r="U19" i="40"/>
  <c r="U20" i="40"/>
  <c r="U21" i="40"/>
  <c r="U22" i="40"/>
  <c r="U23" i="40"/>
  <c r="U25" i="40"/>
  <c r="U26" i="40"/>
  <c r="U27" i="40"/>
  <c r="U28" i="40"/>
  <c r="U29" i="40"/>
  <c r="U30" i="40"/>
  <c r="U4" i="40"/>
  <c r="S18" i="40"/>
  <c r="S22" i="40"/>
  <c r="S28" i="40"/>
  <c r="S30" i="40"/>
  <c r="S9" i="40"/>
  <c r="M13" i="40"/>
  <c r="M7" i="40"/>
  <c r="M20" i="40"/>
  <c r="M25" i="40"/>
  <c r="M28" i="40"/>
  <c r="M30" i="40"/>
  <c r="M4" i="40"/>
  <c r="AK21" i="40" l="1"/>
  <c r="H84" i="39" s="1"/>
  <c r="AK20" i="40"/>
  <c r="H17" i="39" s="1"/>
  <c r="K3" i="41"/>
  <c r="K5" i="41"/>
  <c r="K18" i="41"/>
  <c r="K10" i="41"/>
  <c r="K16" i="41"/>
  <c r="K4" i="41"/>
  <c r="K12" i="41"/>
  <c r="K13" i="41"/>
  <c r="K6" i="41"/>
  <c r="K8" i="41"/>
  <c r="K17" i="41"/>
  <c r="K9" i="41"/>
  <c r="K7" i="41"/>
  <c r="K11" i="41"/>
  <c r="K14" i="41"/>
  <c r="K15" i="41"/>
  <c r="K19" i="41" l="1"/>
  <c r="P9" i="40" l="1"/>
  <c r="P28" i="40"/>
  <c r="Q28" i="40" s="1"/>
  <c r="R28" i="40" s="1"/>
  <c r="P29" i="40"/>
  <c r="P6" i="40"/>
  <c r="Q6" i="40" s="1"/>
  <c r="P20" i="40"/>
  <c r="Q20" i="40" s="1"/>
  <c r="R20" i="40" s="1"/>
  <c r="P23" i="40"/>
  <c r="Q23" i="40" s="1"/>
  <c r="P22" i="40"/>
  <c r="Q22" i="40" s="1"/>
  <c r="P15" i="40"/>
  <c r="Q15" i="40" s="1"/>
  <c r="P5" i="40"/>
  <c r="Q5" i="40" s="1"/>
  <c r="P12" i="40"/>
  <c r="Q12" i="40" s="1"/>
  <c r="R12" i="40" s="1"/>
  <c r="P17" i="40"/>
  <c r="P27" i="40"/>
  <c r="Q27" i="40" s="1"/>
  <c r="P19" i="40"/>
  <c r="Q19" i="40" s="1"/>
  <c r="P14" i="40"/>
  <c r="Q14" i="40" s="1"/>
  <c r="P10" i="40"/>
  <c r="Q10" i="40" s="1"/>
  <c r="P8" i="40"/>
  <c r="Q8" i="40" s="1"/>
  <c r="R8" i="40" s="1"/>
  <c r="P7" i="40"/>
  <c r="Q7" i="40" s="1"/>
  <c r="P30" i="40"/>
  <c r="Q30" i="40" s="1"/>
  <c r="P11" i="40"/>
  <c r="Q11" i="40" s="1"/>
  <c r="P16" i="40"/>
  <c r="Q16" i="40" s="1"/>
  <c r="R16" i="40" s="1"/>
  <c r="P4" i="40"/>
  <c r="P18" i="40"/>
  <c r="Q18" i="40" s="1"/>
  <c r="P26" i="40"/>
  <c r="Q26" i="40" s="1"/>
  <c r="P13" i="40"/>
  <c r="P21" i="40"/>
  <c r="Q21" i="40" s="1"/>
  <c r="P25" i="40"/>
  <c r="P24" i="40"/>
  <c r="Q24" i="40" s="1"/>
  <c r="R24" i="40" s="1"/>
  <c r="N13" i="40" l="1"/>
  <c r="N28" i="40"/>
  <c r="Q25" i="40"/>
  <c r="R25" i="40" s="1"/>
  <c r="Q13" i="40"/>
  <c r="R13" i="40" s="1"/>
  <c r="R18" i="40"/>
  <c r="R30" i="40"/>
  <c r="R14" i="40"/>
  <c r="R27" i="40"/>
  <c r="R15" i="40"/>
  <c r="R23" i="40"/>
  <c r="R6" i="40"/>
  <c r="N20" i="40"/>
  <c r="Q4" i="40"/>
  <c r="R4" i="40" s="1"/>
  <c r="R21" i="40"/>
  <c r="R26" i="40"/>
  <c r="R11" i="40"/>
  <c r="R7" i="40"/>
  <c r="R10" i="40"/>
  <c r="R19" i="40"/>
  <c r="Q17" i="40"/>
  <c r="R17" i="40" s="1"/>
  <c r="R5" i="40"/>
  <c r="R22" i="40"/>
  <c r="Q29" i="40"/>
  <c r="R29" i="40" s="1"/>
  <c r="Q9" i="40"/>
  <c r="R9" i="40" s="1"/>
  <c r="N4" i="40" l="1"/>
  <c r="N7" i="40"/>
  <c r="N30" i="40"/>
  <c r="N25" i="40"/>
  <c r="L26" i="40" l="1"/>
  <c r="L16" i="40"/>
  <c r="L23" i="40" l="1"/>
  <c r="L21" i="40"/>
  <c r="L10" i="40"/>
  <c r="L13" i="40"/>
  <c r="L4" i="40"/>
  <c r="L20" i="40"/>
  <c r="L12" i="40"/>
  <c r="L25" i="40"/>
  <c r="L6" i="40"/>
  <c r="L7" i="40"/>
  <c r="L30" i="40"/>
  <c r="L15" i="40"/>
  <c r="L22" i="40"/>
  <c r="L11" i="40"/>
  <c r="L9" i="40"/>
  <c r="L28" i="40"/>
  <c r="L18" i="40"/>
  <c r="L8" i="40"/>
  <c r="L14" i="40"/>
  <c r="L19" i="40"/>
  <c r="L17" i="40"/>
  <c r="L5" i="40"/>
  <c r="L24" i="40"/>
  <c r="L27" i="40"/>
  <c r="L29" i="40"/>
  <c r="AK10" i="40" l="1"/>
  <c r="AF4" i="40"/>
  <c r="AF5" i="40"/>
  <c r="AF6" i="40"/>
  <c r="AF7" i="40"/>
  <c r="AF8" i="40"/>
  <c r="AF9" i="40"/>
  <c r="AF10" i="40"/>
  <c r="AF11" i="40"/>
  <c r="AF12" i="40"/>
  <c r="AF13" i="40"/>
  <c r="AF14" i="40"/>
  <c r="AF15" i="40"/>
  <c r="AF16" i="40"/>
  <c r="AF17" i="40"/>
  <c r="AF18" i="40"/>
  <c r="AF19" i="40"/>
  <c r="AF20" i="40"/>
  <c r="AF21" i="40"/>
  <c r="AF23" i="40"/>
  <c r="AF24" i="40"/>
  <c r="AF25" i="40"/>
  <c r="AF26" i="40"/>
  <c r="AN9" i="40" s="1"/>
  <c r="I23" i="8" s="1"/>
  <c r="AF27" i="40"/>
  <c r="AF28" i="40"/>
  <c r="AF29" i="40"/>
  <c r="AN6" i="40"/>
  <c r="AN7" i="40"/>
  <c r="AK16" i="40"/>
  <c r="AN3" i="40"/>
  <c r="AN5" i="40"/>
  <c r="AK15" i="40"/>
  <c r="AK19" i="40"/>
  <c r="AN8" i="40"/>
  <c r="AF30" i="40"/>
  <c r="K23" i="8" l="1"/>
  <c r="J23" i="8"/>
  <c r="I15" i="8"/>
  <c r="J15" i="8" s="1"/>
  <c r="K15" i="8"/>
  <c r="G4" i="40"/>
  <c r="AK7" i="40"/>
  <c r="AK12" i="40"/>
  <c r="AK11" i="40"/>
  <c r="AK13" i="40"/>
  <c r="AK8" i="40"/>
  <c r="J6" i="40"/>
  <c r="K6" i="40" s="1"/>
  <c r="J24" i="40"/>
  <c r="K24" i="40" s="1"/>
  <c r="J8" i="40"/>
  <c r="K8" i="40" s="1"/>
  <c r="J11" i="40"/>
  <c r="K11" i="40" s="1"/>
  <c r="J25" i="40"/>
  <c r="K25" i="40" s="1"/>
  <c r="J22" i="40"/>
  <c r="K22" i="40" s="1"/>
  <c r="J9" i="40"/>
  <c r="K9" i="40" s="1"/>
  <c r="D4" i="40"/>
  <c r="J29" i="40"/>
  <c r="K29" i="40" s="1"/>
  <c r="J23" i="40"/>
  <c r="K23" i="40" s="1"/>
  <c r="J17" i="40"/>
  <c r="K17" i="40" s="1"/>
  <c r="J7" i="40"/>
  <c r="K7" i="40" s="1"/>
  <c r="J5" i="40"/>
  <c r="K5" i="40" s="1"/>
  <c r="J27" i="40"/>
  <c r="K27" i="40" s="1"/>
  <c r="J19" i="40"/>
  <c r="K19" i="40" s="1"/>
  <c r="J18" i="40"/>
  <c r="K18" i="40" s="1"/>
  <c r="J16" i="40"/>
  <c r="K16" i="40" s="1"/>
  <c r="J15" i="40"/>
  <c r="K15" i="40" s="1"/>
  <c r="J13" i="40"/>
  <c r="K13" i="40" s="1"/>
  <c r="J12" i="40"/>
  <c r="K12" i="40" s="1"/>
  <c r="J10" i="40"/>
  <c r="K10" i="40" s="1"/>
  <c r="J21" i="40"/>
  <c r="K21" i="40" s="1"/>
  <c r="J20" i="40"/>
  <c r="K20" i="40" s="1"/>
  <c r="AN4" i="40"/>
  <c r="J30" i="40"/>
  <c r="K30" i="40" s="1"/>
  <c r="J4" i="40" l="1"/>
  <c r="K4" i="40" s="1"/>
  <c r="I17" i="8"/>
  <c r="J17" i="8" s="1"/>
  <c r="I13" i="8"/>
  <c r="K13" i="8" s="1"/>
  <c r="I12" i="8"/>
  <c r="J12" i="8" s="1"/>
  <c r="I18" i="8"/>
  <c r="J18" i="8" s="1"/>
  <c r="K17" i="8"/>
  <c r="AK9" i="40"/>
  <c r="I16" i="8"/>
  <c r="AK6" i="40"/>
  <c r="J28" i="40"/>
  <c r="K28" i="40" s="1"/>
  <c r="J26" i="40"/>
  <c r="K26" i="40" s="1"/>
  <c r="J14" i="40"/>
  <c r="K14" i="40" s="1"/>
  <c r="J13" i="8" l="1"/>
  <c r="I11" i="8"/>
  <c r="K18" i="8"/>
  <c r="K12" i="8"/>
  <c r="AK5" i="40"/>
  <c r="AK4" i="40" s="1"/>
  <c r="AK3" i="40" s="1"/>
  <c r="J16" i="8"/>
  <c r="K16" i="8"/>
  <c r="I14" i="8"/>
  <c r="G55" i="18"/>
  <c r="F53" i="18"/>
  <c r="G53" i="18"/>
  <c r="H53" i="18"/>
  <c r="I53" i="18"/>
  <c r="J53" i="18"/>
  <c r="K53" i="18"/>
  <c r="L53" i="18"/>
  <c r="M53" i="18"/>
  <c r="O53" i="18"/>
  <c r="E53" i="18"/>
  <c r="N33" i="18"/>
  <c r="P33" i="18" s="1"/>
  <c r="N34" i="18"/>
  <c r="P34" i="18" s="1"/>
  <c r="N35" i="18"/>
  <c r="P35" i="18" s="1"/>
  <c r="N36" i="18"/>
  <c r="P36" i="18" s="1"/>
  <c r="N37" i="18"/>
  <c r="P37" i="18" s="1"/>
  <c r="N38" i="18"/>
  <c r="P38" i="18" s="1"/>
  <c r="N41" i="18"/>
  <c r="P41" i="18" s="1"/>
  <c r="N42" i="18"/>
  <c r="P42" i="18" s="1"/>
  <c r="N43" i="18"/>
  <c r="P43" i="18" s="1"/>
  <c r="N44" i="18"/>
  <c r="P44" i="18" s="1"/>
  <c r="N45" i="18"/>
  <c r="P45" i="18" s="1"/>
  <c r="N46" i="18"/>
  <c r="P46" i="18" s="1"/>
  <c r="N47" i="18"/>
  <c r="P47" i="18" s="1"/>
  <c r="N48" i="18"/>
  <c r="P48" i="18" s="1"/>
  <c r="N6" i="23"/>
  <c r="N14" i="23"/>
  <c r="L15" i="23"/>
  <c r="L12" i="23"/>
  <c r="D11" i="8"/>
  <c r="B52" i="8"/>
  <c r="I64" i="15"/>
  <c r="B55" i="8" l="1"/>
  <c r="P5" i="23"/>
  <c r="P15" i="23" s="1"/>
  <c r="J11" i="8"/>
  <c r="J20" i="41"/>
  <c r="J21" i="41" s="1"/>
  <c r="K11" i="8"/>
  <c r="I10" i="8"/>
  <c r="R47" i="18"/>
  <c r="R41" i="18"/>
  <c r="R46" i="18"/>
  <c r="R42" i="18"/>
  <c r="R38" i="18"/>
  <c r="R34" i="18"/>
  <c r="R43" i="18"/>
  <c r="R45" i="18"/>
  <c r="R37" i="18"/>
  <c r="R35" i="18"/>
  <c r="R48" i="18"/>
  <c r="R44" i="18"/>
  <c r="R36" i="18"/>
  <c r="R33" i="18"/>
  <c r="N23" i="18"/>
  <c r="P23" i="18" s="1"/>
  <c r="N24" i="18"/>
  <c r="P24" i="18" s="1"/>
  <c r="N25" i="18"/>
  <c r="P25" i="18" s="1"/>
  <c r="N26" i="18"/>
  <c r="P26" i="18" s="1"/>
  <c r="N27" i="18"/>
  <c r="P27" i="18" s="1"/>
  <c r="N28" i="18"/>
  <c r="P28" i="18" s="1"/>
  <c r="N29" i="18"/>
  <c r="P29" i="18" s="1"/>
  <c r="N30" i="18"/>
  <c r="P30" i="18" s="1"/>
  <c r="N31" i="18"/>
  <c r="P31" i="18" s="1"/>
  <c r="N32" i="18"/>
  <c r="P32" i="18" s="1"/>
  <c r="P12" i="23" l="1"/>
  <c r="I9" i="8"/>
  <c r="R32" i="18"/>
  <c r="R26" i="18"/>
  <c r="R31" i="18"/>
  <c r="R30" i="18"/>
  <c r="R29" i="18"/>
  <c r="R25" i="18"/>
  <c r="R23" i="18"/>
  <c r="R24" i="18"/>
  <c r="A2" i="39"/>
  <c r="A2" i="15" l="1"/>
  <c r="C7" i="18"/>
  <c r="C53" i="18" s="1"/>
  <c r="B7" i="18"/>
  <c r="A7" i="18"/>
  <c r="E8" i="23"/>
  <c r="D8" i="23"/>
  <c r="E6" i="23"/>
  <c r="D6" i="23"/>
  <c r="D30" i="8"/>
  <c r="D29" i="8"/>
  <c r="O55" i="18" s="1"/>
  <c r="D28" i="8"/>
  <c r="E12" i="8"/>
  <c r="F12" i="8" s="1"/>
  <c r="E13" i="8"/>
  <c r="F13" i="8" s="1"/>
  <c r="E15" i="8"/>
  <c r="F15" i="8" s="1"/>
  <c r="E16" i="8"/>
  <c r="F16" i="8" s="1"/>
  <c r="E17" i="8"/>
  <c r="F17" i="8" s="1"/>
  <c r="E18" i="8"/>
  <c r="F18" i="8" s="1"/>
  <c r="E19" i="8"/>
  <c r="F19" i="8" s="1"/>
  <c r="E20" i="8"/>
  <c r="F20" i="8" s="1"/>
  <c r="E21" i="8"/>
  <c r="F21" i="8" s="1"/>
  <c r="E23" i="8"/>
  <c r="F23" i="8" s="1"/>
  <c r="E24" i="8"/>
  <c r="F24" i="8" s="1"/>
  <c r="D22" i="8"/>
  <c r="C41" i="8" s="1"/>
  <c r="D41" i="8" s="1"/>
  <c r="D14" i="8"/>
  <c r="D10" i="8" s="1"/>
  <c r="R27" i="18"/>
  <c r="K10" i="8" l="1"/>
  <c r="J14" i="8"/>
  <c r="K14" i="8"/>
  <c r="F41" i="8"/>
  <c r="D27" i="8"/>
  <c r="D34" i="8" s="1"/>
  <c r="D9" i="8" l="1"/>
  <c r="J10" i="8"/>
  <c r="J9" i="8"/>
  <c r="C22" i="8"/>
  <c r="E22" i="8" s="1"/>
  <c r="F22" i="8" s="1"/>
  <c r="C14" i="8"/>
  <c r="E14" i="8" s="1"/>
  <c r="F14" i="8" s="1"/>
  <c r="K9" i="8" l="1"/>
  <c r="E5" i="23"/>
  <c r="H5" i="23"/>
  <c r="H7" i="23" s="1"/>
  <c r="H9" i="23" s="1"/>
  <c r="D8" i="8"/>
  <c r="P7" i="23" s="1"/>
  <c r="P13" i="23" s="1"/>
  <c r="H78" i="39" l="1"/>
  <c r="H19" i="23"/>
  <c r="H13" i="23"/>
  <c r="H25" i="23"/>
  <c r="H17" i="23"/>
  <c r="H23" i="23"/>
  <c r="H15" i="23"/>
  <c r="H21" i="23"/>
  <c r="M7" i="23"/>
  <c r="H80" i="39" s="1"/>
  <c r="E55" i="18"/>
  <c r="N5" i="23"/>
  <c r="M15" i="23"/>
  <c r="N15" i="23" s="1"/>
  <c r="M12" i="23"/>
  <c r="C40" i="8"/>
  <c r="D40" i="8" s="1"/>
  <c r="B45" i="8"/>
  <c r="N12" i="23" l="1"/>
  <c r="M13" i="23"/>
  <c r="J64" i="15"/>
  <c r="F24" i="23"/>
  <c r="F22" i="23"/>
  <c r="F20" i="23"/>
  <c r="F18" i="23"/>
  <c r="F16" i="23"/>
  <c r="F14" i="23"/>
  <c r="F12" i="23"/>
  <c r="C46" i="8"/>
  <c r="B51" i="8" s="1"/>
  <c r="E31" i="8"/>
  <c r="F31" i="8" s="1"/>
  <c r="E32" i="8"/>
  <c r="E33" i="8"/>
  <c r="B53" i="8" l="1"/>
  <c r="B54" i="8"/>
  <c r="F8" i="23"/>
  <c r="F6" i="23"/>
  <c r="N22" i="18" l="1"/>
  <c r="P22" i="18" s="1"/>
  <c r="R22" i="18" s="1"/>
  <c r="N21" i="18"/>
  <c r="P21" i="18" s="1"/>
  <c r="R21" i="18" s="1"/>
  <c r="N20" i="18"/>
  <c r="P20" i="18" s="1"/>
  <c r="R20" i="18" s="1"/>
  <c r="N19" i="18"/>
  <c r="P19" i="18" s="1"/>
  <c r="R19" i="18" s="1"/>
  <c r="N18" i="18"/>
  <c r="P18" i="18" s="1"/>
  <c r="R18" i="18" s="1"/>
  <c r="N17" i="18"/>
  <c r="P17" i="18" s="1"/>
  <c r="R17" i="18" s="1"/>
  <c r="N16" i="18"/>
  <c r="P16" i="18" s="1"/>
  <c r="R16" i="18" s="1"/>
  <c r="N15" i="18"/>
  <c r="P15" i="18" s="1"/>
  <c r="R15" i="18" s="1"/>
  <c r="N14" i="18"/>
  <c r="P14" i="18" s="1"/>
  <c r="R14" i="18" s="1"/>
  <c r="N13" i="18"/>
  <c r="P13" i="18" s="1"/>
  <c r="R13" i="18" s="1"/>
  <c r="N12" i="18"/>
  <c r="P12" i="18" s="1"/>
  <c r="R12" i="18" s="1"/>
  <c r="N11" i="18"/>
  <c r="P11" i="18" s="1"/>
  <c r="R11" i="18" s="1"/>
  <c r="N10" i="18"/>
  <c r="P10" i="18" s="1"/>
  <c r="R10" i="18" s="1"/>
  <c r="N9" i="18"/>
  <c r="P9" i="18" s="1"/>
  <c r="R9" i="18" s="1"/>
  <c r="N8" i="18"/>
  <c r="P8" i="18" s="1"/>
  <c r="R8" i="18" s="1"/>
  <c r="N7" i="18"/>
  <c r="F33" i="8"/>
  <c r="F32" i="8"/>
  <c r="B41" i="8"/>
  <c r="C11" i="8"/>
  <c r="E11" i="8" s="1"/>
  <c r="F11" i="8" s="1"/>
  <c r="N53" i="18" l="1"/>
  <c r="N55" i="18" s="1"/>
  <c r="P7" i="18"/>
  <c r="C45" i="8"/>
  <c r="E30" i="8"/>
  <c r="F30" i="8" s="1"/>
  <c r="E28" i="8"/>
  <c r="F28" i="8" s="1"/>
  <c r="C10" i="8"/>
  <c r="E10" i="8" s="1"/>
  <c r="F10" i="8" s="1"/>
  <c r="F40" i="8" l="1"/>
  <c r="G40" i="8" s="1"/>
  <c r="R7" i="18"/>
  <c r="P53" i="18"/>
  <c r="Q40" i="18" s="1"/>
  <c r="C47" i="8"/>
  <c r="D45" i="8"/>
  <c r="B46" i="8"/>
  <c r="C9" i="8"/>
  <c r="D5" i="23" s="1"/>
  <c r="F42" i="8" l="1"/>
  <c r="G42" i="8" s="1"/>
  <c r="Q39" i="18"/>
  <c r="Q52" i="18"/>
  <c r="Q51" i="18"/>
  <c r="Q50" i="18"/>
  <c r="Q49" i="18"/>
  <c r="E54" i="18"/>
  <c r="P54" i="18"/>
  <c r="Q41" i="18"/>
  <c r="Q34" i="18"/>
  <c r="Q45" i="18"/>
  <c r="Q37" i="18"/>
  <c r="Q35" i="18"/>
  <c r="Q42" i="18"/>
  <c r="Q48" i="18"/>
  <c r="Q33" i="18"/>
  <c r="Q47" i="18"/>
  <c r="Q38" i="18"/>
  <c r="Q43" i="18"/>
  <c r="Q36" i="18"/>
  <c r="Q46" i="18"/>
  <c r="Q44" i="18"/>
  <c r="G54" i="18"/>
  <c r="Q18" i="18"/>
  <c r="Q19" i="18"/>
  <c r="Q20" i="18"/>
  <c r="Q15" i="18"/>
  <c r="Q10" i="18"/>
  <c r="Q16" i="18"/>
  <c r="R53" i="18"/>
  <c r="Q31" i="18"/>
  <c r="Q24" i="18"/>
  <c r="Q30" i="18"/>
  <c r="Q29" i="18"/>
  <c r="Q27" i="18"/>
  <c r="Q26" i="18"/>
  <c r="Q25" i="18"/>
  <c r="Q28" i="18"/>
  <c r="Q23" i="18"/>
  <c r="Q32" i="18"/>
  <c r="Q9" i="18"/>
  <c r="Q7" i="18"/>
  <c r="Q17" i="18"/>
  <c r="Q21" i="18"/>
  <c r="N54" i="18"/>
  <c r="H54" i="18"/>
  <c r="M54" i="18"/>
  <c r="I54" i="18"/>
  <c r="L54" i="18"/>
  <c r="K54" i="18"/>
  <c r="O54" i="18"/>
  <c r="F54" i="18"/>
  <c r="J54" i="18"/>
  <c r="Q11" i="18"/>
  <c r="Q12" i="18"/>
  <c r="Q8" i="18"/>
  <c r="Q14" i="18"/>
  <c r="Q13" i="18"/>
  <c r="Q22" i="18"/>
  <c r="D46" i="8"/>
  <c r="D47" i="8" s="1"/>
  <c r="B47" i="8"/>
  <c r="D7" i="23"/>
  <c r="D9" i="23" s="1"/>
  <c r="E9" i="8"/>
  <c r="F9" i="8" s="1"/>
  <c r="C8" i="8"/>
  <c r="E7" i="23"/>
  <c r="D36" i="8"/>
  <c r="D25" i="8"/>
  <c r="C55" i="18" l="1"/>
  <c r="L7" i="23"/>
  <c r="B40" i="8"/>
  <c r="Q53" i="18"/>
  <c r="D19" i="23"/>
  <c r="D13" i="23"/>
  <c r="G20" i="8"/>
  <c r="G19" i="8"/>
  <c r="G17" i="8"/>
  <c r="G23" i="8"/>
  <c r="G13" i="8"/>
  <c r="G12" i="8"/>
  <c r="G18" i="8"/>
  <c r="G21" i="8"/>
  <c r="G24" i="8"/>
  <c r="G15" i="8"/>
  <c r="G25" i="8"/>
  <c r="G16" i="8"/>
  <c r="G14" i="8"/>
  <c r="G22" i="8"/>
  <c r="G11" i="8"/>
  <c r="G10" i="8"/>
  <c r="G9" i="8"/>
  <c r="I65" i="15"/>
  <c r="R28" i="18" s="1"/>
  <c r="C25" i="8"/>
  <c r="D15" i="23"/>
  <c r="F7" i="23"/>
  <c r="E9" i="23"/>
  <c r="F9" i="23" s="1"/>
  <c r="D25" i="23"/>
  <c r="D17" i="23"/>
  <c r="F5" i="23"/>
  <c r="E8" i="8"/>
  <c r="F8" i="8" s="1"/>
  <c r="D23" i="23"/>
  <c r="G27" i="8"/>
  <c r="C42" i="8"/>
  <c r="D42" i="8" s="1"/>
  <c r="G8" i="8"/>
  <c r="L13" i="23" l="1"/>
  <c r="N13" i="23" s="1"/>
  <c r="N7" i="23"/>
  <c r="B42" i="8"/>
  <c r="E25" i="8"/>
  <c r="F25" i="8" s="1"/>
  <c r="E21" i="23"/>
  <c r="F21" i="23" s="1"/>
  <c r="E17" i="23"/>
  <c r="F17" i="23" s="1"/>
  <c r="E23" i="23"/>
  <c r="F23" i="23" s="1"/>
  <c r="E13" i="23"/>
  <c r="F13" i="23" s="1"/>
  <c r="E25" i="23"/>
  <c r="F25" i="23" s="1"/>
  <c r="E15" i="23"/>
  <c r="F15" i="23" s="1"/>
  <c r="E19" i="23"/>
  <c r="F19" i="23" s="1"/>
  <c r="D35" i="8"/>
  <c r="G30" i="8"/>
  <c r="G31" i="8"/>
  <c r="G28" i="8"/>
  <c r="G33" i="8"/>
  <c r="G34" i="8"/>
  <c r="G32" i="8"/>
  <c r="G29" i="8"/>
  <c r="F39" i="51" l="1"/>
  <c r="H64" i="15"/>
  <c r="C29" i="8"/>
  <c r="E29" i="8" s="1"/>
  <c r="F29" i="8" s="1"/>
  <c r="J69" i="15" l="1"/>
  <c r="K69" i="15" s="1"/>
  <c r="K64" i="15"/>
  <c r="C27" i="8"/>
  <c r="C34" i="8" l="1"/>
  <c r="E27" i="8"/>
  <c r="F27" i="8" s="1"/>
  <c r="E34" i="8" l="1"/>
  <c r="C36" i="8"/>
  <c r="C35" i="8"/>
  <c r="E35" i="8" s="1"/>
  <c r="H65" i="15"/>
  <c r="J65" i="15" l="1"/>
  <c r="E36" i="8"/>
  <c r="F34" i="8"/>
  <c r="F36" i="8" l="1"/>
  <c r="K65" i="15"/>
</calcChain>
</file>

<file path=xl/comments1.xml><?xml version="1.0" encoding="utf-8"?>
<comments xmlns="http://schemas.openxmlformats.org/spreadsheetml/2006/main">
  <authors>
    <author>Gustavo Milhomem Brito Menezes</author>
  </authors>
  <commentList>
    <comment ref="A6" authorId="0">
      <text>
        <r>
          <rPr>
            <b/>
            <sz val="16"/>
            <color indexed="81"/>
            <rFont val="Tahoma"/>
            <family val="2"/>
          </rPr>
          <t>Área ou setor responsável pela Atividade ou Projeto</t>
        </r>
      </text>
    </comment>
    <comment ref="B6" authorId="0">
      <text>
        <r>
          <rPr>
            <b/>
            <sz val="14"/>
            <color indexed="81"/>
            <rFont val="Calibri Light"/>
            <family val="2"/>
            <scheme val="major"/>
          </rPr>
          <t>P= Projeto                                         A= Atividade 
PE= Projeto Específico</t>
        </r>
      </text>
    </comment>
    <comment ref="C6" authorId="0">
      <text>
        <r>
          <rPr>
            <b/>
            <sz val="13"/>
            <color indexed="81"/>
            <rFont val="Tahoma"/>
            <family val="2"/>
          </rPr>
          <t>Nome do Projeto ou Atividade do Plano de Ação .</t>
        </r>
      </text>
    </comment>
    <comment ref="D6" authorId="0">
      <text>
        <r>
          <rPr>
            <b/>
            <sz val="13"/>
            <color indexed="81"/>
            <rFont val="Tahoma"/>
            <family val="2"/>
          </rPr>
          <t xml:space="preserve">
É a motivação geral e a síntese dos efeitos que se deseja produzir.</t>
        </r>
      </text>
    </comment>
    <comment ref="E6" authorId="0">
      <text>
        <r>
          <rPr>
            <b/>
            <sz val="14"/>
            <color indexed="81"/>
            <rFont val="Tahoma"/>
            <family val="2"/>
          </rPr>
          <t>Selecionar uma das opções nas células abaixo que estão de acordo com os objetivos estratégicos do Mapa Estratégico no âmbito das perspectivas da Sociedade, Processos Internos, Alavancadores e Pessoas e Infraestrutura.</t>
        </r>
      </text>
    </comment>
    <comment ref="F6" authorId="0">
      <text>
        <r>
          <rPr>
            <sz val="12"/>
            <color indexed="81"/>
            <rFont val="Tahoma"/>
            <family val="2"/>
          </rPr>
          <t xml:space="preserve">Ao firmar o compromisso de incluir os ODS à sua estratégia, o CAU abre caminho para melhorar sua atuação e atender aos anseios da sociedade por projetos e serviços alinhados aos princípios da sustentabilidade. Neste contexto, torna-se </t>
        </r>
        <r>
          <rPr>
            <b/>
            <sz val="14"/>
            <color indexed="81"/>
            <rFont val="Tahoma"/>
            <family val="2"/>
          </rPr>
          <t>facultativo</t>
        </r>
        <r>
          <rPr>
            <sz val="12"/>
            <color indexed="81"/>
            <rFont val="Tahoma"/>
            <family val="2"/>
          </rPr>
          <t xml:space="preserve"> o enquadramento dos projetos e atividades nos ODS em 2022</t>
        </r>
      </text>
    </comment>
    <comment ref="G6" authorId="0">
      <text>
        <r>
          <rPr>
            <b/>
            <sz val="12"/>
            <color indexed="81"/>
            <rFont val="Tahoma"/>
            <family val="2"/>
          </rPr>
          <t xml:space="preserve">São os efeitos que devem ser produzidos com a execução do projeto/atividade, dentro do seu horizonte do tempo. Refletem o objetivo geral do projeto e representam o seu desdobramento em metas mensuráveis. </t>
        </r>
      </text>
    </comment>
    <comment ref="H6" authorId="0">
      <text>
        <r>
          <rPr>
            <b/>
            <sz val="14"/>
            <color indexed="81"/>
            <rFont val="Tahoma"/>
            <family val="2"/>
          </rPr>
          <t>Os valores devem ser iguais do último Plano de Ação aprovado.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I6" authorId="0">
      <text>
        <r>
          <rPr>
            <b/>
            <sz val="13"/>
            <color indexed="81"/>
            <rFont val="Tahoma"/>
            <family val="2"/>
          </rPr>
          <t>Valores  dos Projetos/Atividades do Plano de Ação da Programação 2022</t>
        </r>
      </text>
    </comment>
  </commentList>
</comments>
</file>

<file path=xl/comments2.xml><?xml version="1.0" encoding="utf-8"?>
<comments xmlns="http://schemas.openxmlformats.org/spreadsheetml/2006/main">
  <authors>
    <author>Flavia Rios Costa</author>
    <author>Marcos Cristino</author>
  </authors>
  <commentList>
    <comment ref="C5" authorId="0">
      <text>
        <r>
          <rPr>
            <b/>
            <sz val="9"/>
            <color indexed="81"/>
            <rFont val="Segoe UI"/>
            <family val="2"/>
          </rPr>
          <t>O valor da Reprogramação 2021 deve ser igual ao valor APROVADO vigente no Plano de Ação 2021.</t>
        </r>
      </text>
    </comment>
    <comment ref="D5" authorId="1">
      <text>
        <r>
          <rPr>
            <b/>
            <sz val="9"/>
            <color indexed="81"/>
            <rFont val="Segoe UI"/>
            <family val="2"/>
          </rPr>
          <t>Os valores devem ser o aprovado nas Diretrizes da Programação 2022.</t>
        </r>
      </text>
    </comment>
    <comment ref="A11" authorId="0">
      <text>
        <r>
          <rPr>
            <b/>
            <sz val="10"/>
            <color indexed="81"/>
            <rFont val="Tahoma"/>
            <family val="2"/>
          </rPr>
          <t>Somar os valores do exercício 2022
 e exercícios anteriores.</t>
        </r>
      </text>
    </comment>
    <comment ref="A14" authorId="0">
      <text>
        <r>
          <rPr>
            <b/>
            <sz val="10"/>
            <color indexed="81"/>
            <rFont val="Tahoma"/>
            <family val="2"/>
          </rPr>
          <t>Somar os valores do exercício 2022 e exercícios anteriores.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2" authorId="0">
      <text>
        <r>
          <rPr>
            <b/>
            <sz val="11"/>
            <color indexed="81"/>
            <rFont val="Tahoma"/>
            <family val="2"/>
          </rPr>
          <t>Apenas o Valor do APORTE DO CSC</t>
        </r>
        <r>
          <rPr>
            <sz val="9"/>
            <color indexed="81"/>
            <rFont val="Tahoma"/>
            <family val="2"/>
          </rPr>
          <t xml:space="preserve">
Fiscalização + Atendimento</t>
        </r>
      </text>
    </comment>
    <comment ref="A50" authorId="1">
      <text>
        <r>
          <rPr>
            <b/>
            <sz val="9"/>
            <color indexed="81"/>
            <rFont val="Segoe UI"/>
            <family val="2"/>
          </rPr>
          <t>Superávit a ser utilizado, de acordo com o Art. 9 da Resolução 200</t>
        </r>
      </text>
    </comment>
  </commentList>
</comments>
</file>

<file path=xl/comments3.xml><?xml version="1.0" encoding="utf-8"?>
<comments xmlns="http://schemas.openxmlformats.org/spreadsheetml/2006/main">
  <authors>
    <author>Gustavo Milhomem Brito Menezes</author>
    <author>Marcos Cristino</author>
    <author>Tania Mara Chaves Daldegan</author>
    <author>Fabiana ...</author>
  </authors>
  <commentList>
    <comment ref="B5" authorId="0">
      <text>
        <r>
          <rPr>
            <b/>
            <sz val="11"/>
            <color indexed="81"/>
            <rFont val="Tahoma"/>
            <family val="2"/>
          </rPr>
          <t>Vinculada as Receitas de Arrecadação do Anexo 1.1 - Usos e Fonte COM os valores das anuidades de exercícios anteriores.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Apenas para os Cau Básicos. O valor total deve ser igual do que consta nas Diretrizes da Programação 2022.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" authorId="1">
      <text>
        <r>
          <rPr>
            <sz val="9"/>
            <color indexed="81"/>
            <rFont val="Segoe UI"/>
            <family val="2"/>
          </rPr>
          <t>Apresentar detalhamento no campo de comentários.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= Receita de Arrecadação + Recurso do Fundo de Apoio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RAL= Receita de Arrecadação + Fundo de Apoio (apenas CAU Básicos) - Aporte FA</t>
        </r>
      </text>
    </comment>
    <comment ref="F12" authorId="2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2" authorId="3">
      <text>
        <r>
          <rPr>
            <sz val="12"/>
            <color indexed="81"/>
            <rFont val="Segoe UI"/>
            <family val="2"/>
          </rPr>
          <t>Não considerar o valor total das rescisões contratuais, auxílio alimentação, auxílio transporte, plano de saúde e demais benefícios</t>
        </r>
      </text>
    </comment>
    <comment ref="F13" authorId="2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4" authorId="2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4" authorId="3">
      <text>
        <r>
          <rPr>
            <sz val="12"/>
            <color indexed="81"/>
            <rFont val="Segoe UI"/>
            <family val="2"/>
          </rPr>
          <t xml:space="preserve"> Folhas de pagamento (salários, encargos e benefícios)</t>
        </r>
      </text>
    </comment>
    <comment ref="F15" authorId="2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6" authorId="2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7" authorId="2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8" authorId="2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9" authorId="2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0" authorId="2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1" authorId="2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2" authorId="2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3" authorId="2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4" authorId="2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5" authorId="2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Tania Mara Chaves Daldegan</author>
  </authors>
  <commentList>
    <comment ref="K5" authorId="0">
      <text>
        <r>
          <rPr>
            <b/>
            <sz val="9"/>
            <color indexed="81"/>
            <rFont val="Segoe UI"/>
            <family val="2"/>
          </rPr>
          <t>Aporte ao Fundo de apoio
Aporte o CSC
Patrocínio
Convênios</t>
        </r>
      </text>
    </comment>
  </commentList>
</comments>
</file>

<file path=xl/comments5.xml><?xml version="1.0" encoding="utf-8"?>
<comments xmlns="http://schemas.openxmlformats.org/spreadsheetml/2006/main">
  <authors>
    <author>William Marchetti Gritti</author>
  </authors>
  <commentList>
    <comment ref="E10" authorId="0">
      <text>
        <r>
          <rPr>
            <b/>
            <sz val="9"/>
            <color indexed="81"/>
            <rFont val="Tahoma"/>
            <charset val="1"/>
          </rPr>
          <t>William Marchetti Gritti:</t>
        </r>
        <r>
          <rPr>
            <sz val="9"/>
            <color indexed="81"/>
            <rFont val="Tahoma"/>
            <charset val="1"/>
          </rPr>
          <t xml:space="preserve">
Projeto Especial</t>
        </r>
      </text>
    </comment>
  </commentList>
</comments>
</file>

<file path=xl/comments6.xml><?xml version="1.0" encoding="utf-8"?>
<comments xmlns="http://schemas.openxmlformats.org/spreadsheetml/2006/main">
  <authors>
    <author>William Marchetti Gritti</author>
  </authors>
  <commentList>
    <comment ref="E9" authorId="0">
      <text>
        <r>
          <rPr>
            <b/>
            <sz val="9"/>
            <color indexed="81"/>
            <rFont val="Tahoma"/>
            <family val="2"/>
          </rPr>
          <t>William Marchetti Gritti:</t>
        </r>
        <r>
          <rPr>
            <sz val="9"/>
            <color indexed="81"/>
            <rFont val="Tahoma"/>
            <family val="2"/>
          </rPr>
          <t xml:space="preserve">
incluído supervisão doc. Mem. e 02 assistentes
</t>
        </r>
      </text>
    </comment>
  </commentList>
</comments>
</file>

<file path=xl/comments7.xml><?xml version="1.0" encoding="utf-8"?>
<comments xmlns="http://schemas.openxmlformats.org/spreadsheetml/2006/main">
  <authors>
    <author>William Marchetti Gritti</author>
  </authors>
  <commentList>
    <comment ref="E46" authorId="0">
      <text>
        <r>
          <rPr>
            <b/>
            <sz val="9"/>
            <color indexed="81"/>
            <rFont val="Tahoma"/>
            <family val="2"/>
          </rPr>
          <t>William Marchetti Gritti:</t>
        </r>
        <r>
          <rPr>
            <sz val="9"/>
            <color indexed="81"/>
            <rFont val="Tahoma"/>
            <family val="2"/>
          </rPr>
          <t xml:space="preserve">
+01 arq e 01 assist.</t>
        </r>
      </text>
    </comment>
  </commentList>
</comments>
</file>

<file path=xl/comments8.xml><?xml version="1.0" encoding="utf-8"?>
<comments xmlns="http://schemas.openxmlformats.org/spreadsheetml/2006/main">
  <authors>
    <author>William Marchetti Gritti</author>
  </authors>
  <commentList>
    <comment ref="E11" authorId="0">
      <text>
        <r>
          <rPr>
            <b/>
            <sz val="9"/>
            <color indexed="81"/>
            <rFont val="Tahoma"/>
            <family val="2"/>
          </rPr>
          <t>William Marchetti Gritti:</t>
        </r>
        <r>
          <rPr>
            <sz val="9"/>
            <color indexed="81"/>
            <rFont val="Tahoma"/>
            <family val="2"/>
          </rPr>
          <t xml:space="preserve">
3.300 + 10,78% por 12 meses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William Marchetti Gritti:</t>
        </r>
        <r>
          <rPr>
            <sz val="9"/>
            <color indexed="81"/>
            <rFont val="Tahoma"/>
            <family val="2"/>
          </rPr>
          <t xml:space="preserve">
incluir + 01 assessor</t>
        </r>
      </text>
    </comment>
  </commentList>
</comments>
</file>

<file path=xl/comments9.xml><?xml version="1.0" encoding="utf-8"?>
<comments xmlns="http://schemas.openxmlformats.org/spreadsheetml/2006/main">
  <authors>
    <author>Marcos Cristino</author>
  </authors>
  <commentList>
    <comment ref="AK15" authorId="0">
      <text>
        <r>
          <rPr>
            <sz val="9"/>
            <color indexed="81"/>
            <rFont val="Segoe UI"/>
            <family val="2"/>
          </rPr>
          <t>Valor apenas do Ressarcimento de Taxas Bancárias</t>
        </r>
      </text>
    </comment>
  </commentList>
</comments>
</file>

<file path=xl/sharedStrings.xml><?xml version="1.0" encoding="utf-8"?>
<sst xmlns="http://schemas.openxmlformats.org/spreadsheetml/2006/main" count="2463" uniqueCount="763">
  <si>
    <t>Total</t>
  </si>
  <si>
    <t>Pessoal</t>
  </si>
  <si>
    <t>Imobilizado</t>
  </si>
  <si>
    <t>Variação</t>
  </si>
  <si>
    <t>Unidade Responsável</t>
  </si>
  <si>
    <t>Denominação</t>
  </si>
  <si>
    <t>TOTAL</t>
  </si>
  <si>
    <t>Especificação</t>
  </si>
  <si>
    <t>1. Receitas Correntes</t>
  </si>
  <si>
    <t>1.1.1 Anuidades</t>
  </si>
  <si>
    <t>1.1.1.1 Pessoa Física</t>
  </si>
  <si>
    <t>1.1.1.2 Pessoa Jurídica</t>
  </si>
  <si>
    <t>1.2 Aplicações Financeiras</t>
  </si>
  <si>
    <t>1.4 Fundo de Apoio</t>
  </si>
  <si>
    <t>2.1 Saldos de Exercícios Anteriores (Superávit Financeiro)</t>
  </si>
  <si>
    <t xml:space="preserve"> I – TOTAL</t>
  </si>
  <si>
    <t>II – TOTAL</t>
  </si>
  <si>
    <t>VARIAÇÃO (I-II)</t>
  </si>
  <si>
    <t>Valores em R$ 1,00</t>
  </si>
  <si>
    <t>Impactar significativamente o planejamento e a gestão do território</t>
  </si>
  <si>
    <t>Tornar a fiscalização um vetor de melhoria do exercício da Arquitetura e Urbanismo</t>
  </si>
  <si>
    <t>Assegurar a eficácia no atendimento e no relacionamento com os arquitetos e urbanistas e a sociedade</t>
  </si>
  <si>
    <t>Estimular o conhecimento, o uso de processos criativos e a difusão das melhores práticas em Arquitetura e Urbanismo</t>
  </si>
  <si>
    <t>Garantir a participação dos arquitetos e urbanistas no planejamento territorial e na gestão urbana</t>
  </si>
  <si>
    <t>Estimular a produção da arquitetura e urbanismo como política de Estado</t>
  </si>
  <si>
    <t>Assegurar a eficácia no relacionamento e comunicação com a sociedade</t>
  </si>
  <si>
    <t>Promover o exercício ético e qualificado da profissão</t>
  </si>
  <si>
    <t>Fomentar o acesso da sociedade à Arquitetura e Urbanismo</t>
  </si>
  <si>
    <t>Assegurar a sustentabilidade financeira</t>
  </si>
  <si>
    <t>Aprimorar e inovar os processos e as ações</t>
  </si>
  <si>
    <t>Desenvolver competências de dirigentes e colaboradores</t>
  </si>
  <si>
    <t>Construir cultura organizacional adequada à estratégia</t>
  </si>
  <si>
    <t>Ter sistemas de informação e infraestrutura que viabilizem a gestão e o atendimento dos arquitetos e urbanistas e a sociedade</t>
  </si>
  <si>
    <t>Indicadores Institucionais e de Resultado (agrupados por objetivo estratégico) - Metas</t>
  </si>
  <si>
    <t>Objetivo Estratégico Principal</t>
  </si>
  <si>
    <t>Denominação (Projeto/Atividade)</t>
  </si>
  <si>
    <t>Material de Consumo</t>
  </si>
  <si>
    <t>Serviços de Terceiros</t>
  </si>
  <si>
    <t>Encargos Diversos</t>
  </si>
  <si>
    <t>Soma</t>
  </si>
  <si>
    <t>% Part.</t>
  </si>
  <si>
    <t>Diárias</t>
  </si>
  <si>
    <t>Passagens</t>
  </si>
  <si>
    <t>Serviços Prestados</t>
  </si>
  <si>
    <t>TOTAL GERAL</t>
  </si>
  <si>
    <t>BASE DE CÁLCULO</t>
  </si>
  <si>
    <t>APLICAÇÕES DE RECURSOS</t>
  </si>
  <si>
    <t xml:space="preserve">FOLHA DE PAGAMENTO </t>
  </si>
  <si>
    <t>2. Recursos do fundo de apoio (CAU Básico)</t>
  </si>
  <si>
    <t>Valor</t>
  </si>
  <si>
    <t xml:space="preserve">% </t>
  </si>
  <si>
    <t>Variação (%)</t>
  </si>
  <si>
    <t>LIMITES</t>
  </si>
  <si>
    <t xml:space="preserve">Objetivo Geral </t>
  </si>
  <si>
    <t>CAU/UF:</t>
  </si>
  <si>
    <t xml:space="preserve">Fórmula </t>
  </si>
  <si>
    <t xml:space="preserve">Periodicidade </t>
  </si>
  <si>
    <t>B- INDICADORES DE RESULTADO</t>
  </si>
  <si>
    <t>A- INDICADORES INSTITUCIONAIS</t>
  </si>
  <si>
    <t>Orientação: As células em cinza estão vinculadas com fórmulas, não devem ser preenchidas.</t>
  </si>
  <si>
    <t>B. Valor total das rescisões contratuais, auxílio alimentação, auxílio transporte, plano de saúde e demais benefícios.</t>
  </si>
  <si>
    <t>3. Soma (1+2)</t>
  </si>
  <si>
    <t>C. Receitas Correntes</t>
  </si>
  <si>
    <t>4. Aportes ao Fundo de Apoio</t>
  </si>
  <si>
    <t>Pessoal e Encargos</t>
  </si>
  <si>
    <t>A. Pessoal e Encargos (Valores totais)</t>
  </si>
  <si>
    <t>1. QUADRO GERAL</t>
  </si>
  <si>
    <t>Resultado</t>
  </si>
  <si>
    <t>1.1.3 RRT</t>
  </si>
  <si>
    <t xml:space="preserve">BASE DE CÁLCULO </t>
  </si>
  <si>
    <t xml:space="preserve">Variação </t>
  </si>
  <si>
    <t xml:space="preserve">CATEGORIA ECONÔMICA </t>
  </si>
  <si>
    <t>Corrente</t>
  </si>
  <si>
    <t xml:space="preserve">Capital </t>
  </si>
  <si>
    <t>5.  Receita da Arrecadação Líquida (RAL = 3 - 4)</t>
  </si>
  <si>
    <t>Anual</t>
  </si>
  <si>
    <t>Trimestral</t>
  </si>
  <si>
    <t>1.1.1.1.2 Anuidade Exercícios anteriores</t>
  </si>
  <si>
    <t>1.1.1.2.2 Anuidade Exercícios anteriores</t>
  </si>
  <si>
    <t>1.1 Receitas de Arrecadação Total</t>
  </si>
  <si>
    <t>x 100</t>
  </si>
  <si>
    <t>Mensal</t>
  </si>
  <si>
    <t>Semestral</t>
  </si>
  <si>
    <t>número de usuários satisfeitos com a solução da demanda</t>
  </si>
  <si>
    <t>número de usuários que responderam a pesquisa</t>
  </si>
  <si>
    <t>total de notícias sobre questões de Arquitetura e Urbanismo</t>
  </si>
  <si>
    <t>total de inserções do CAU na mídia</t>
  </si>
  <si>
    <t>passivo circulante</t>
  </si>
  <si>
    <t>total de profissionais ativos</t>
  </si>
  <si>
    <t>total de empresas inadimplentes</t>
  </si>
  <si>
    <t>horas totais de treinamento</t>
  </si>
  <si>
    <t>número total de colaboradores e dirigentes</t>
  </si>
  <si>
    <t>total de usuários internos que participaram da pesquisa</t>
  </si>
  <si>
    <t>total de usuários externos que participaram da pesquisa</t>
  </si>
  <si>
    <t>01 - Erradicação da pobreza</t>
  </si>
  <si>
    <t>05 - Igualdade de gênero</t>
  </si>
  <si>
    <t>08 - Trabalho decente e crescimento econômico</t>
  </si>
  <si>
    <t>10 - Redução das desigualdades</t>
  </si>
  <si>
    <t>11 - Cidades e comunidades sustentáveis</t>
  </si>
  <si>
    <t>14 - Vida na água</t>
  </si>
  <si>
    <t>16 - Paz, justiça e instituições eficazes</t>
  </si>
  <si>
    <t>17 - Parcerias e meios de implementação</t>
  </si>
  <si>
    <t>02 - Fome zero e agricultura sustentável</t>
  </si>
  <si>
    <t>03 - Saúde e bem-estar</t>
  </si>
  <si>
    <t>04 - Educação de qualidade</t>
  </si>
  <si>
    <t>06 - Água limpa e saneamento</t>
  </si>
  <si>
    <t>09 - Inovação infraestrutura</t>
  </si>
  <si>
    <t>12 - Consumo e produção responsáveis</t>
  </si>
  <si>
    <t>13 - Ação contra a mudança global do clima</t>
  </si>
  <si>
    <t>15 - Vida terrestre</t>
  </si>
  <si>
    <t>I - Receitas</t>
  </si>
  <si>
    <t>II - Despesas</t>
  </si>
  <si>
    <t>Assegurar a eficácia no atendimento e no relacionamento com os Arquitetos e Urbanistas e a Sociedade</t>
  </si>
  <si>
    <t>Auto-Atendimento</t>
  </si>
  <si>
    <t>Qualificação dos Canais de Atendimento</t>
  </si>
  <si>
    <t>Ações Locais em Mídia</t>
  </si>
  <si>
    <t>Ações Nacionais em Mídia</t>
  </si>
  <si>
    <t>Atualização do Portal da Transparência</t>
  </si>
  <si>
    <t>Estimular a produção da Arquitetura e Urbanismo como política de Estado</t>
  </si>
  <si>
    <t>Representação em Instâncias Públicas</t>
  </si>
  <si>
    <t>Câmaras Temáticas</t>
  </si>
  <si>
    <t>Editais de Patrocínio</t>
  </si>
  <si>
    <t>Capacitação em ATHIS</t>
  </si>
  <si>
    <t>Cooperação Técnica para ATHIS</t>
  </si>
  <si>
    <t>Influenciar as diretrizes do ensino de Arquitetura e Urbanismo e sua formação continuada</t>
  </si>
  <si>
    <t>Ações de Melhoria da Qualidade do Ensino</t>
  </si>
  <si>
    <t>CAU nas Escolas</t>
  </si>
  <si>
    <t>Audiências de Conciliação</t>
  </si>
  <si>
    <t>Melhoria de Processo Ético</t>
  </si>
  <si>
    <t>Palestras e campanhas sobre Aspectos Éticos</t>
  </si>
  <si>
    <t>Cooperação Técnica para Fiscalização</t>
  </si>
  <si>
    <t>Plataforma de Georreferenciamento</t>
  </si>
  <si>
    <t>Fiscalização Orientativa</t>
  </si>
  <si>
    <t>Fiscalização em Obras</t>
  </si>
  <si>
    <t>Serviços de Terceiros- Diárias</t>
  </si>
  <si>
    <t>Serviços de Terceiros- Passagens</t>
  </si>
  <si>
    <t>Serviços de Terceiros- Serviços Prestados</t>
  </si>
  <si>
    <t>Serviços de Terceiros- Aluguéis e Encargos</t>
  </si>
  <si>
    <t>Transferências Correntes</t>
  </si>
  <si>
    <t xml:space="preserve">Objetivos de Desenvolvimento Sustentável </t>
  </si>
  <si>
    <t>2.2 Outras Receitas de Capital</t>
  </si>
  <si>
    <t>1.3 Outras Receitas Correntes</t>
  </si>
  <si>
    <t>Não se aplica</t>
  </si>
  <si>
    <t>Atendimento Eletrônico</t>
  </si>
  <si>
    <t>Valorizar a Arquitetura e Urbanismo</t>
  </si>
  <si>
    <t>Garantir a participação dos Arquitetos e Urbanistas no planejamento territorial e na gestão urbana</t>
  </si>
  <si>
    <t xml:space="preserve">Reserva de Contingência </t>
  </si>
  <si>
    <t>P/A/ PE</t>
  </si>
  <si>
    <t>RRT mínima</t>
  </si>
  <si>
    <t>número de usuários internos satisfeitos com a tecnologia</t>
  </si>
  <si>
    <t>número de usuários externos satisfeitos com a tecnologia</t>
  </si>
  <si>
    <t>ativo circulante</t>
  </si>
  <si>
    <t>total de profissionais inadimplentes</t>
  </si>
  <si>
    <t>número de processos éticos concluídos em um ano</t>
  </si>
  <si>
    <t>Variação
(%)</t>
  </si>
  <si>
    <t xml:space="preserve"> </t>
  </si>
  <si>
    <t>Orientações de Preenchimento dos Elementos de Despesas:</t>
  </si>
  <si>
    <t>% 
(D= C/A *100)</t>
  </si>
  <si>
    <t>1.1.4 Taxas e Multas</t>
  </si>
  <si>
    <t>Valores
 (C=B-A)</t>
  </si>
  <si>
    <t>%       
 (D=C/A)</t>
  </si>
  <si>
    <t xml:space="preserve">1. Receita de Arrecadação Total </t>
  </si>
  <si>
    <t xml:space="preserve">Reserva de 
Contingência </t>
  </si>
  <si>
    <t>FONTES (R$)</t>
  </si>
  <si>
    <t>APLICAÇÃO (R$)</t>
  </si>
  <si>
    <t>Sociedade</t>
  </si>
  <si>
    <t>número de municípios  da UF que possuem  Plano Diretor</t>
  </si>
  <si>
    <t>total de municípios da UF</t>
  </si>
  <si>
    <t xml:space="preserve">quantidade de ações de fiscalização realizadas pelo CAU/UF no mês </t>
  </si>
  <si>
    <t xml:space="preserve">Mensal </t>
  </si>
  <si>
    <t xml:space="preserve">número de ações de fiscalização previstas no Plano de Ação aprovado </t>
  </si>
  <si>
    <t>quantidade de obras e serviços regulares</t>
  </si>
  <si>
    <t>quantidade de obras e serviços fiscalizados pelo CAU/UF</t>
  </si>
  <si>
    <t>número total de RRT registrados (pagos) por mês</t>
  </si>
  <si>
    <t xml:space="preserve"> total de profissionais ativos </t>
  </si>
  <si>
    <t>quantidade de denúncias atendidas</t>
  </si>
  <si>
    <t>número de denúncias recebidas</t>
  </si>
  <si>
    <t>número de processos de fiscalização concluídos no semestre</t>
  </si>
  <si>
    <t xml:space="preserve"> número total de processos de fiscalização em aberto no ano</t>
  </si>
  <si>
    <t>quantidade de termos de cooperação técnica e parcerias para racionalização da ações de fiscalização</t>
  </si>
  <si>
    <t>número de termos e parcerias previstos no Plano de Ação</t>
  </si>
  <si>
    <t>quantidade mensal de ações de fiscalização realizada</t>
  </si>
  <si>
    <t>número de horas de fiscalização mensal</t>
  </si>
  <si>
    <t>quantidade obras e serviços com RRT</t>
  </si>
  <si>
    <t>quantidade de obras e serviços regularizados</t>
  </si>
  <si>
    <t>quantidade de obras e serviços regularizados com RRT</t>
  </si>
  <si>
    <t>quantidade obras e serviços regularizados</t>
  </si>
  <si>
    <t xml:space="preserve">número de reclamações recebidas pela Ouvidoria  no trimestre                                                                                                               </t>
  </si>
  <si>
    <t xml:space="preserve">número total de atendimentos pela Ouvidoria no trimestre                                   </t>
  </si>
  <si>
    <t>valor orçamentário investido (executado) em patrocínios no ano</t>
  </si>
  <si>
    <t xml:space="preserve">Anual
</t>
  </si>
  <si>
    <t>valor orçamentário destinado (orçado) em patrocínios no ano</t>
  </si>
  <si>
    <t>Quantidade de participantes presentes</t>
  </si>
  <si>
    <t>quantidade de participantes previstas no Plano de Ação Aprovado</t>
  </si>
  <si>
    <t>custos totais dos eventos</t>
  </si>
  <si>
    <t>quantidade de participantes presentes</t>
  </si>
  <si>
    <t>número de pessoas atingida pelo material produzido e distribuído</t>
  </si>
  <si>
    <t>quantidade de material informativo produzido</t>
  </si>
  <si>
    <t>número de ações com participação do CAU/UF</t>
  </si>
  <si>
    <t>número de municípios da UF que passaram a aplicar a Lei de Assistência Técnica</t>
  </si>
  <si>
    <t>quantidade de acessos qualificados (visitantes únicos) a página do CAU/UF</t>
  </si>
  <si>
    <t>número de inserções na mídia em geral onde o CAU/UF foi citado</t>
  </si>
  <si>
    <t>número de inserções positivas do CAU/UF na mídia</t>
  </si>
  <si>
    <t>Número de  visualizações das publicações do CAU/UF das redes sociais</t>
  </si>
  <si>
    <t>quantidade de visualizações das publicações do CAU/UF das redes sociais</t>
  </si>
  <si>
    <t>número de escolas da UF com a disciplina de ética profissional na grade curricular</t>
  </si>
  <si>
    <t>número total de escolas da UF</t>
  </si>
  <si>
    <t>número total de processos éticos abertos</t>
  </si>
  <si>
    <t>tempo médio de conclusão de processos éticos</t>
  </si>
  <si>
    <t>tempo máximo para conclusão de processo</t>
  </si>
  <si>
    <t>total de RRT na UF</t>
  </si>
  <si>
    <t>população total da UF/1000 habitantes</t>
  </si>
  <si>
    <t>RRT Social</t>
  </si>
  <si>
    <t>receita corrente</t>
  </si>
  <si>
    <t xml:space="preserve">Semestral 
</t>
  </si>
  <si>
    <t>custo total de pessoal</t>
  </si>
  <si>
    <t xml:space="preserve">Semestral </t>
  </si>
  <si>
    <t xml:space="preserve">total de empresas ativas </t>
  </si>
  <si>
    <t>número de processos mapeados</t>
  </si>
  <si>
    <t xml:space="preserve">total de processos existentes </t>
  </si>
  <si>
    <t>número de processos normatizados</t>
  </si>
  <si>
    <t>total de processos existentes</t>
  </si>
  <si>
    <t>número de processos automatizados</t>
  </si>
  <si>
    <t>Número de ações executadas</t>
  </si>
  <si>
    <t xml:space="preserve">quantidade de ações executadas voltadas à cultura organizacional e estratégia                                                                                                                  </t>
  </si>
  <si>
    <t>Índice de cumprimento das metas do Plano de Ação (%)</t>
  </si>
  <si>
    <t>Obs.: Os Indicadores devem ser vinculados aos objetivos estratégicos priorizados no Mapa Estratégico do CAU/UF, ou seja, os indicadores dos objetivos estratégicos escolhidos no Mapa Estratégico devem ser mensurados.</t>
  </si>
  <si>
    <t>COMENTÁRIOS/JUSTIFICATIVAS:</t>
  </si>
  <si>
    <t>Orientação:  As células sinalizadas, em cinza, são fórmulas e não devem ser modificadas.</t>
  </si>
  <si>
    <t>Correntes
(R$)</t>
  </si>
  <si>
    <t>Capital
(R$)</t>
  </si>
  <si>
    <t>TOTAL
(R$)</t>
  </si>
  <si>
    <r>
      <t xml:space="preserve">Orientação: Selecionar os objetivos estratégicos prioritários em âmbito local trabalhados em 2022. Os objetivos estratégicos. em âmbito nacional, foram alterados para : </t>
    </r>
    <r>
      <rPr>
        <b/>
        <sz val="12"/>
        <rFont val="Calibri"/>
        <family val="2"/>
        <scheme val="minor"/>
      </rPr>
      <t>Fiscalização,  AU como Política de Estado e Acesso da Sociedade à AU</t>
    </r>
    <r>
      <rPr>
        <sz val="12"/>
        <rFont val="Calibri"/>
        <family val="2"/>
        <scheme val="minor"/>
      </rPr>
      <t>, devem ser obrigatoriamente trabalhados.</t>
    </r>
  </si>
  <si>
    <t>Orientações para preenchimento do Modelo do Plano de Ação - Programação 2022</t>
  </si>
  <si>
    <t>1) Usar o arquivo da Programação 2022 enviado pela GERPLAN. O anexo 4 é de preenchimento facultativo.</t>
  </si>
  <si>
    <t>Meta
Projeção
2022</t>
  </si>
  <si>
    <t>PLANO DE AÇÃO - PROGRAMAÇÃO  2022</t>
  </si>
  <si>
    <t>Anexo 1 - Demonstrativo de Fontes e Aplicações - Programação 2022</t>
  </si>
  <si>
    <t>Programação 2022
  (B)</t>
  </si>
  <si>
    <t>1.1.1.1.1 Anuidade do Exercício 2022</t>
  </si>
  <si>
    <t>1.1.1.2.1 Anuidade do Exercício 2022</t>
  </si>
  <si>
    <t>RESUMO DA PROGRAMAÇÃO 2022 - POR CATEGORIA ECONÔMICA</t>
  </si>
  <si>
    <t>Programação 
2022 
(B)</t>
  </si>
  <si>
    <t>Anexo 2 - Limites de Aplicação dos Recursos Estratégicos - Programação 2022</t>
  </si>
  <si>
    <t>Programação
 2022</t>
  </si>
  <si>
    <t>Anexo 3- Aplicações por Projeto/Atividade - por Elemento de Despesa (Consolidado) - Programação 2022</t>
  </si>
  <si>
    <t>Programação 2022</t>
  </si>
  <si>
    <t>Meta
Reprogramação
2021</t>
  </si>
  <si>
    <t xml:space="preserve">Variação (2022/2021) </t>
  </si>
  <si>
    <t>Reprogramação 2021
 (A)</t>
  </si>
  <si>
    <t>Reprogramação 
2021 
(A)</t>
  </si>
  <si>
    <t>Reprogramação
 2021</t>
  </si>
  <si>
    <t>Justificativas para os indicadores que não foram propostas metas:</t>
  </si>
  <si>
    <t>07 - Energia limpa e acessível </t>
  </si>
  <si>
    <t>número de solicitações tratadas no prazo estipulado pela Carta de Serviços no trimestre</t>
  </si>
  <si>
    <t>número de solicitações abertas no trimestre</t>
  </si>
  <si>
    <t>total de RRT pagos na UF</t>
  </si>
  <si>
    <t>total de profissionais potenciais pagantes</t>
  </si>
  <si>
    <r>
      <t xml:space="preserve">Índice de municípios que possuem  Plano Diretor, em conformidade com os critérios da legislação (%) 
</t>
    </r>
    <r>
      <rPr>
        <b/>
        <sz val="12"/>
        <color theme="1"/>
        <rFont val="Calibri"/>
        <family val="2"/>
        <scheme val="minor"/>
      </rPr>
      <t xml:space="preserve">(CAU/UF) </t>
    </r>
  </si>
  <si>
    <r>
      <t xml:space="preserve">Índice da capacidade de fiscalização (%) 
</t>
    </r>
    <r>
      <rPr>
        <b/>
        <sz val="12"/>
        <rFont val="Calibri"/>
        <family val="2"/>
        <scheme val="minor"/>
      </rPr>
      <t xml:space="preserve">(CAU/UF) </t>
    </r>
  </si>
  <si>
    <r>
      <t xml:space="preserve">Índice de presença profissional nas obras e  serviços fiscalizados  (%)
</t>
    </r>
    <r>
      <rPr>
        <b/>
        <sz val="12"/>
        <rFont val="Calibri"/>
        <family val="2"/>
        <scheme val="minor"/>
      </rPr>
      <t xml:space="preserve">(CAU/UF) </t>
    </r>
    <r>
      <rPr>
        <sz val="12"/>
        <rFont val="Calibri"/>
        <family val="2"/>
        <scheme val="minor"/>
      </rPr>
      <t xml:space="preserve">                   </t>
    </r>
  </si>
  <si>
    <r>
      <t xml:space="preserve">Índice de RRT por profissional ativo (Qtd)
</t>
    </r>
    <r>
      <rPr>
        <b/>
        <sz val="12"/>
        <rFont val="Calibri"/>
        <family val="2"/>
        <scheme val="minor"/>
      </rPr>
      <t xml:space="preserve">(CAU/UF)         </t>
    </r>
    <r>
      <rPr>
        <sz val="12"/>
        <rFont val="Calibri"/>
        <family val="2"/>
        <scheme val="minor"/>
      </rPr>
      <t xml:space="preserve">       </t>
    </r>
  </si>
  <si>
    <r>
      <t xml:space="preserve">Índice de capacidade de atendimento de denúncias  (%)
</t>
    </r>
    <r>
      <rPr>
        <b/>
        <sz val="12"/>
        <rFont val="Calibri"/>
        <family val="2"/>
        <scheme val="minor"/>
      </rPr>
      <t>(CAU/UF)</t>
    </r>
  </si>
  <si>
    <r>
      <t xml:space="preserve">Índice de eficiência na conclusão de processos de fiscalização  (%)
</t>
    </r>
    <r>
      <rPr>
        <b/>
        <sz val="12"/>
        <rFont val="Calibri"/>
        <family val="2"/>
        <scheme val="minor"/>
      </rPr>
      <t>(CAU/UF)</t>
    </r>
  </si>
  <si>
    <r>
      <t xml:space="preserve">Índice da capacidade de articulação institucional para fiscalização (%)
</t>
    </r>
    <r>
      <rPr>
        <b/>
        <sz val="12"/>
        <rFont val="Calibri"/>
        <family val="2"/>
        <scheme val="minor"/>
      </rPr>
      <t>(CAU/UF)</t>
    </r>
  </si>
  <si>
    <r>
      <t xml:space="preserve">Índice produtividade de fiscalização (%)
</t>
    </r>
    <r>
      <rPr>
        <b/>
        <sz val="12"/>
        <rFont val="Calibri"/>
        <family val="2"/>
        <scheme val="minor"/>
      </rPr>
      <t>(CAU/UF)</t>
    </r>
  </si>
  <si>
    <r>
      <t xml:space="preserve">Índice de regularidade no CAU (%)
</t>
    </r>
    <r>
      <rPr>
        <b/>
        <sz val="12"/>
        <rFont val="Calibri"/>
        <family val="2"/>
        <scheme val="minor"/>
      </rPr>
      <t>(CAU/UF)</t>
    </r>
  </si>
  <si>
    <r>
      <t xml:space="preserve">Índice de regularização de obras e serviços (%)
</t>
    </r>
    <r>
      <rPr>
        <b/>
        <sz val="12"/>
        <rFont val="Calibri"/>
        <family val="2"/>
        <scheme val="minor"/>
      </rPr>
      <t>(CAU/UF)</t>
    </r>
  </si>
  <si>
    <r>
      <t xml:space="preserve">Índice de regularização com RRT (%)
</t>
    </r>
    <r>
      <rPr>
        <b/>
        <sz val="12"/>
        <rFont val="Calibri"/>
        <family val="2"/>
        <scheme val="minor"/>
      </rPr>
      <t>(CAU/UF)</t>
    </r>
  </si>
  <si>
    <r>
      <t xml:space="preserve">Índice de atendimento (%)
</t>
    </r>
    <r>
      <rPr>
        <b/>
        <sz val="12"/>
        <rFont val="Calibri"/>
        <family val="2"/>
        <scheme val="minor"/>
      </rPr>
      <t>(CAU/UF)</t>
    </r>
  </si>
  <si>
    <r>
      <t xml:space="preserve">Índice de satisfação com a solução da demanda (%)
</t>
    </r>
    <r>
      <rPr>
        <b/>
        <sz val="12"/>
        <rFont val="Calibri"/>
        <family val="2"/>
        <scheme val="minor"/>
      </rPr>
      <t>(CAU/UF)</t>
    </r>
  </si>
  <si>
    <r>
      <t xml:space="preserve">Índice de reclamações recebidas na Ouvidoria (%)
</t>
    </r>
    <r>
      <rPr>
        <b/>
        <sz val="12"/>
        <rFont val="Calibri"/>
        <family val="2"/>
        <scheme val="minor"/>
      </rPr>
      <t>(CAU/UF)</t>
    </r>
  </si>
  <si>
    <r>
      <t xml:space="preserve">Índice da capacidade de execução dos investimentos em patrocínios  (%)
</t>
    </r>
    <r>
      <rPr>
        <b/>
        <sz val="12"/>
        <rFont val="Calibri"/>
        <family val="2"/>
        <scheme val="minor"/>
      </rPr>
      <t>(CAU/UF)</t>
    </r>
  </si>
  <si>
    <r>
      <t xml:space="preserve">Índice de difusão de conhecimento em eventos próprios (%)
</t>
    </r>
    <r>
      <rPr>
        <b/>
        <sz val="12"/>
        <rFont val="Calibri"/>
        <family val="2"/>
        <scheme val="minor"/>
      </rPr>
      <t>(CAU/UF)</t>
    </r>
  </si>
  <si>
    <r>
      <t xml:space="preserve">Índice de eficiência de custos de eventos próprios
</t>
    </r>
    <r>
      <rPr>
        <b/>
        <sz val="12"/>
        <rFont val="Calibri"/>
        <family val="2"/>
        <scheme val="minor"/>
      </rPr>
      <t>(CAU/UF)</t>
    </r>
  </si>
  <si>
    <r>
      <t xml:space="preserve">Índice de alcance das melhores práticas (%)
</t>
    </r>
    <r>
      <rPr>
        <b/>
        <sz val="12"/>
        <rFont val="Calibri"/>
        <family val="2"/>
        <scheme val="minor"/>
      </rPr>
      <t>(CAU/UF)</t>
    </r>
  </si>
  <si>
    <r>
      <t xml:space="preserve">Ações realizadas em conjunto com municípios, destinadas ao planejamento urbano
</t>
    </r>
    <r>
      <rPr>
        <b/>
        <sz val="12"/>
        <color theme="1"/>
        <rFont val="Calibri"/>
        <family val="2"/>
        <scheme val="minor"/>
      </rPr>
      <t>(CAU/UF)</t>
    </r>
  </si>
  <si>
    <r>
      <t xml:space="preserve">Participação do CAU na elaboração ou regulamentação da Lei da Assistência Técnica Gratuita (Lei nº 11.888/08) (%)
</t>
    </r>
    <r>
      <rPr>
        <b/>
        <sz val="12"/>
        <rFont val="Calibri"/>
        <family val="2"/>
        <scheme val="minor"/>
      </rPr>
      <t>(CAU/UF)</t>
    </r>
  </si>
  <si>
    <r>
      <t xml:space="preserve">Índice de ações realizadas destinadas à Assistência Técnica (%)
</t>
    </r>
    <r>
      <rPr>
        <b/>
        <sz val="12"/>
        <rFont val="Calibri"/>
        <family val="2"/>
        <scheme val="minor"/>
      </rPr>
      <t>(CAU/UF)</t>
    </r>
  </si>
  <si>
    <r>
      <t xml:space="preserve">Acessos à página do CAU (Qtd.)
</t>
    </r>
    <r>
      <rPr>
        <b/>
        <sz val="12"/>
        <rFont val="Calibri"/>
        <family val="2"/>
        <scheme val="minor"/>
      </rPr>
      <t>(CAU/UF)</t>
    </r>
  </si>
  <si>
    <r>
      <t xml:space="preserve">Índice de presença na mídia como um todo (%)
</t>
    </r>
    <r>
      <rPr>
        <b/>
        <sz val="12"/>
        <rFont val="Calibri"/>
        <family val="2"/>
        <scheme val="minor"/>
      </rPr>
      <t>(CAU/UF)</t>
    </r>
  </si>
  <si>
    <r>
      <t xml:space="preserve">Índice de inserções positivas na mídia (%)
</t>
    </r>
    <r>
      <rPr>
        <b/>
        <sz val="12"/>
        <rFont val="Calibri"/>
        <family val="2"/>
        <scheme val="minor"/>
      </rPr>
      <t>(CAU/UF)</t>
    </r>
  </si>
  <si>
    <r>
      <t xml:space="preserve">Índice de escolas que possuem disciplinas com conteúdo sobre a ética profissional (%)
</t>
    </r>
    <r>
      <rPr>
        <b/>
        <sz val="12"/>
        <rFont val="Calibri"/>
        <family val="2"/>
        <scheme val="minor"/>
      </rPr>
      <t>(CAU/UF)</t>
    </r>
  </si>
  <si>
    <r>
      <t xml:space="preserve">Índice de eficiência na conclusão de processos éticos (%)
</t>
    </r>
    <r>
      <rPr>
        <b/>
        <sz val="12"/>
        <rFont val="Calibri"/>
        <family val="2"/>
        <scheme val="minor"/>
      </rPr>
      <t>(CAU/UF)</t>
    </r>
  </si>
  <si>
    <r>
      <t xml:space="preserve">Eficiência no trâmite de processos éticos (dias)
</t>
    </r>
    <r>
      <rPr>
        <b/>
        <sz val="12"/>
        <rFont val="Calibri"/>
        <family val="2"/>
        <scheme val="minor"/>
      </rPr>
      <t>(CAU/UF)</t>
    </r>
  </si>
  <si>
    <r>
      <t xml:space="preserve">Índice de RRT por população (1.000 habitantes) (%)
</t>
    </r>
    <r>
      <rPr>
        <b/>
        <sz val="12"/>
        <rFont val="Calibri"/>
        <family val="2"/>
        <scheme val="minor"/>
      </rPr>
      <t>(CAU/UF)</t>
    </r>
  </si>
  <si>
    <r>
      <t xml:space="preserve">Índice de RRT mínimos (%)
</t>
    </r>
    <r>
      <rPr>
        <b/>
        <sz val="12"/>
        <rFont val="Calibri"/>
        <family val="2"/>
        <scheme val="minor"/>
      </rPr>
      <t>(CAU/UF)</t>
    </r>
  </si>
  <si>
    <r>
      <t xml:space="preserve">Índice de RRT Social (%)
</t>
    </r>
    <r>
      <rPr>
        <b/>
        <sz val="12"/>
        <rFont val="Calibri"/>
        <family val="2"/>
        <scheme val="minor"/>
      </rPr>
      <t>(CAU/UF)</t>
    </r>
  </si>
  <si>
    <r>
      <t xml:space="preserve">Índice de receita por arquiteto e urbanista 
</t>
    </r>
    <r>
      <rPr>
        <b/>
        <sz val="12"/>
        <rFont val="Calibri"/>
        <family val="2"/>
        <scheme val="minor"/>
      </rPr>
      <t>(CAU/UF)</t>
    </r>
  </si>
  <si>
    <r>
      <t xml:space="preserve">Relação receita/custo total de pessoal (%)
</t>
    </r>
    <r>
      <rPr>
        <b/>
        <sz val="12"/>
        <rFont val="Calibri"/>
        <family val="2"/>
        <scheme val="minor"/>
      </rPr>
      <t>(CAU/UF)</t>
    </r>
  </si>
  <si>
    <r>
      <t xml:space="preserve">Índice de liquidez corrente 
</t>
    </r>
    <r>
      <rPr>
        <b/>
        <sz val="12"/>
        <rFont val="Calibri"/>
        <family val="2"/>
        <scheme val="minor"/>
      </rPr>
      <t>(CAU/UF)</t>
    </r>
  </si>
  <si>
    <r>
      <t xml:space="preserve">Índice de inadimplência pessoa física (%)
</t>
    </r>
    <r>
      <rPr>
        <b/>
        <sz val="12"/>
        <rFont val="Calibri"/>
        <family val="2"/>
        <scheme val="minor"/>
      </rPr>
      <t>(CAU/UF)</t>
    </r>
  </si>
  <si>
    <r>
      <t xml:space="preserve">Índice de inadimplência pessoa jurídica (%)
</t>
    </r>
    <r>
      <rPr>
        <b/>
        <sz val="12"/>
        <rFont val="Calibri"/>
        <family val="2"/>
        <scheme val="minor"/>
      </rPr>
      <t>(CAU/UF)</t>
    </r>
  </si>
  <si>
    <r>
      <t xml:space="preserve">Índice de mapeamento processos (%)
</t>
    </r>
    <r>
      <rPr>
        <b/>
        <sz val="12"/>
        <rFont val="Calibri"/>
        <family val="2"/>
        <scheme val="minor"/>
      </rPr>
      <t>(CAU/UF)</t>
    </r>
  </si>
  <si>
    <r>
      <t xml:space="preserve">Índice de normatização de processos (%)
</t>
    </r>
    <r>
      <rPr>
        <b/>
        <sz val="12"/>
        <rFont val="Calibri"/>
        <family val="2"/>
        <scheme val="minor"/>
      </rPr>
      <t>(CAU/UF)</t>
    </r>
  </si>
  <si>
    <r>
      <t xml:space="preserve">Índice de automação de processos (%)
</t>
    </r>
    <r>
      <rPr>
        <b/>
        <sz val="12"/>
        <rFont val="Calibri"/>
        <family val="2"/>
        <scheme val="minor"/>
      </rPr>
      <t>(CAU/UF)</t>
    </r>
  </si>
  <si>
    <r>
      <t xml:space="preserve">Média de horas de treinamento por colaboradores e dirigentes
</t>
    </r>
    <r>
      <rPr>
        <b/>
        <sz val="12"/>
        <rFont val="Calibri"/>
        <family val="2"/>
        <scheme val="minor"/>
      </rPr>
      <t>(CAU/UF)</t>
    </r>
  </si>
  <si>
    <r>
      <t>total de iniciativas executadas</t>
    </r>
    <r>
      <rPr>
        <b/>
        <sz val="12"/>
        <rFont val="Calibri"/>
        <family val="2"/>
        <scheme val="minor"/>
      </rPr>
      <t xml:space="preserve">                                                                       </t>
    </r>
  </si>
  <si>
    <r>
      <t>total de iniciativas planejadas</t>
    </r>
    <r>
      <rPr>
        <b/>
        <sz val="12"/>
        <rFont val="Calibri"/>
        <family val="2"/>
        <scheme val="minor"/>
      </rPr>
      <t xml:space="preserve">                                                                                  </t>
    </r>
  </si>
  <si>
    <r>
      <t xml:space="preserve">Índice de satisfação interna com a tecnologia utilizada (%)
</t>
    </r>
    <r>
      <rPr>
        <b/>
        <sz val="12"/>
        <rFont val="Calibri"/>
        <family val="2"/>
        <scheme val="minor"/>
      </rPr>
      <t>(CAU/UF)</t>
    </r>
  </si>
  <si>
    <r>
      <t xml:space="preserve">Índice de satisfação externa com a tecnologia utilizada (%)
</t>
    </r>
    <r>
      <rPr>
        <b/>
        <sz val="12"/>
        <rFont val="Calibri"/>
        <family val="2"/>
        <scheme val="minor"/>
      </rPr>
      <t>(CAU/UF)</t>
    </r>
  </si>
  <si>
    <t>Indicadores selecionados pelo UF (para uso do CAU/BR)</t>
  </si>
  <si>
    <t>LEGENDA: P = PROJETO/ A = ATIVIDADE/ PE = PROJETO ESPECÍFICO / FA = FUNDO DE APOIO</t>
  </si>
  <si>
    <t>Objetivos de Desenvolvimento Sustentável</t>
  </si>
  <si>
    <t>Programação
 2022
 R$ (B)</t>
  </si>
  <si>
    <t>Reprogramação
2021 
R$ (A)</t>
  </si>
  <si>
    <t xml:space="preserve"> Valor (R$)
(C=B-A)</t>
  </si>
  <si>
    <t>II - Despesas de capital</t>
  </si>
  <si>
    <t>III - Projetos específicos</t>
  </si>
  <si>
    <t>A. Saldo IV = (I-II-III)</t>
  </si>
  <si>
    <t>Deliberação que aprova PE</t>
  </si>
  <si>
    <t>P</t>
  </si>
  <si>
    <t>A</t>
  </si>
  <si>
    <t>PE</t>
  </si>
  <si>
    <t>P.</t>
  </si>
  <si>
    <t>A.</t>
  </si>
  <si>
    <t>PE.</t>
  </si>
  <si>
    <t>Superávit Financeiro para Projetos Específicos</t>
  </si>
  <si>
    <t>I - Superávit financeiro acumulado em 2020</t>
  </si>
  <si>
    <t>Informações</t>
  </si>
  <si>
    <t>2. Receitas de Capital</t>
  </si>
  <si>
    <t>1. Programação Operacional</t>
  </si>
  <si>
    <t>1.1 Projetos</t>
  </si>
  <si>
    <t>1.2 Projetos Específicos</t>
  </si>
  <si>
    <t>1.3 Atividades</t>
  </si>
  <si>
    <t>2. Aportes ao Fundo de Apoio</t>
  </si>
  <si>
    <t xml:space="preserve">3. Aporte ao CSC </t>
  </si>
  <si>
    <t>4. Reserva de Contingência</t>
  </si>
  <si>
    <r>
      <t xml:space="preserve">Fiscalização
</t>
    </r>
    <r>
      <rPr>
        <b/>
        <sz val="12"/>
        <color rgb="FF006871"/>
        <rFont val="Calibri"/>
        <family val="2"/>
        <scheme val="minor"/>
      </rPr>
      <t xml:space="preserve">(mínimo de 15 % do total da RAL)  </t>
    </r>
    <r>
      <rPr>
        <b/>
        <sz val="12"/>
        <color rgb="FF009999"/>
        <rFont val="Calibri"/>
        <family val="2"/>
        <scheme val="minor"/>
      </rPr>
      <t xml:space="preserve">  </t>
    </r>
    <r>
      <rPr>
        <b/>
        <sz val="12"/>
        <color indexed="8"/>
        <rFont val="Calibri"/>
        <family val="2"/>
        <scheme val="minor"/>
      </rPr>
      <t xml:space="preserve">                                                                     </t>
    </r>
  </si>
  <si>
    <r>
      <t xml:space="preserve"> Despesas com Pessoal
</t>
    </r>
    <r>
      <rPr>
        <b/>
        <sz val="12"/>
        <color rgb="FF006871"/>
        <rFont val="Calibri"/>
        <family val="2"/>
        <scheme val="minor"/>
      </rPr>
      <t>(máximo de 55% sobre as Receitas Correntes)</t>
    </r>
  </si>
  <si>
    <r>
      <t xml:space="preserve">Atendimento
</t>
    </r>
    <r>
      <rPr>
        <b/>
        <sz val="12"/>
        <color rgb="FF006871"/>
        <rFont val="Calibri"/>
        <family val="2"/>
        <scheme val="minor"/>
      </rPr>
      <t>(mínimo de 10 % do total da RAL)</t>
    </r>
  </si>
  <si>
    <r>
      <t>Capacitação</t>
    </r>
    <r>
      <rPr>
        <b/>
        <sz val="12"/>
        <color indexed="10"/>
        <rFont val="Calibri"/>
        <family val="2"/>
        <scheme val="minor"/>
      </rPr>
      <t xml:space="preserve"> 
</t>
    </r>
    <r>
      <rPr>
        <b/>
        <sz val="12"/>
        <color rgb="FF006871"/>
        <rFont val="Calibri"/>
        <family val="2"/>
        <scheme val="minor"/>
      </rPr>
      <t>(mínimo de 2% e máximo de 4% da Folha de Pagamento)</t>
    </r>
    <r>
      <rPr>
        <b/>
        <sz val="12"/>
        <color theme="4" tint="-0.249977111117893"/>
        <rFont val="Calibri"/>
        <family val="2"/>
        <scheme val="minor"/>
      </rPr>
      <t xml:space="preserve">  </t>
    </r>
    <r>
      <rPr>
        <b/>
        <sz val="12"/>
        <rFont val="Calibri"/>
        <family val="2"/>
        <scheme val="minor"/>
      </rPr>
      <t xml:space="preserve">      </t>
    </r>
    <r>
      <rPr>
        <b/>
        <sz val="12"/>
        <color rgb="FF0070C0"/>
        <rFont val="Calibri"/>
        <family val="2"/>
        <scheme val="minor"/>
      </rPr>
      <t xml:space="preserve"> </t>
    </r>
    <r>
      <rPr>
        <b/>
        <sz val="12"/>
        <color indexed="57"/>
        <rFont val="Calibri"/>
        <family val="2"/>
        <scheme val="minor"/>
      </rPr>
      <t xml:space="preserve">         </t>
    </r>
  </si>
  <si>
    <r>
      <t xml:space="preserve">Comunicação
</t>
    </r>
    <r>
      <rPr>
        <b/>
        <sz val="12"/>
        <color rgb="FF006871"/>
        <rFont val="Calibri"/>
        <family val="2"/>
        <scheme val="minor"/>
      </rPr>
      <t>(mínimo de 3% do total da RAL)</t>
    </r>
    <r>
      <rPr>
        <b/>
        <sz val="12"/>
        <color rgb="FF0070C0"/>
        <rFont val="Calibri"/>
        <family val="2"/>
        <scheme val="minor"/>
      </rPr>
      <t xml:space="preserve">    </t>
    </r>
    <r>
      <rPr>
        <b/>
        <sz val="12"/>
        <color indexed="21"/>
        <rFont val="Calibri"/>
        <family val="2"/>
        <scheme val="minor"/>
      </rPr>
      <t xml:space="preserve">         </t>
    </r>
    <r>
      <rPr>
        <b/>
        <sz val="12"/>
        <color indexed="57"/>
        <rFont val="Calibri"/>
        <family val="2"/>
        <scheme val="minor"/>
      </rPr>
      <t xml:space="preserve">                                                                                </t>
    </r>
  </si>
  <si>
    <r>
      <t xml:space="preserve">Patrocínio
</t>
    </r>
    <r>
      <rPr>
        <b/>
        <sz val="12"/>
        <color rgb="FF006871"/>
        <rFont val="Calibri"/>
        <family val="2"/>
        <scheme val="minor"/>
      </rPr>
      <t>(máximo de 5% do total da RAL)</t>
    </r>
    <r>
      <rPr>
        <b/>
        <sz val="12"/>
        <color theme="4" tint="-0.249977111117893"/>
        <rFont val="Calibri"/>
        <family val="2"/>
        <scheme val="minor"/>
      </rPr>
      <t xml:space="preserve">   </t>
    </r>
    <r>
      <rPr>
        <b/>
        <sz val="12"/>
        <color indexed="10"/>
        <rFont val="Calibri"/>
        <family val="2"/>
        <scheme val="minor"/>
      </rPr>
      <t xml:space="preserve">      </t>
    </r>
    <r>
      <rPr>
        <b/>
        <sz val="12"/>
        <color indexed="8"/>
        <rFont val="Calibri"/>
        <family val="2"/>
        <scheme val="minor"/>
      </rPr>
      <t xml:space="preserve">                                                                            </t>
    </r>
  </si>
  <si>
    <r>
      <t xml:space="preserve">Objetivos Estratégicos Locais
</t>
    </r>
    <r>
      <rPr>
        <b/>
        <sz val="12"/>
        <color rgb="FF006871"/>
        <rFont val="Calibri"/>
        <family val="2"/>
        <scheme val="minor"/>
      </rPr>
      <t>(mínimo de 6 % do total da RAL)</t>
    </r>
    <r>
      <rPr>
        <b/>
        <sz val="12"/>
        <color theme="4" tint="-0.249977111117893"/>
        <rFont val="Calibri"/>
        <family val="2"/>
        <scheme val="minor"/>
      </rPr>
      <t xml:space="preserve"> </t>
    </r>
    <r>
      <rPr>
        <b/>
        <sz val="12"/>
        <color indexed="21"/>
        <rFont val="Calibri"/>
        <family val="2"/>
        <scheme val="minor"/>
      </rPr>
      <t xml:space="preserve">                        </t>
    </r>
  </si>
  <si>
    <r>
      <t xml:space="preserve">Assistência Técnica
</t>
    </r>
    <r>
      <rPr>
        <b/>
        <sz val="12"/>
        <color rgb="FF006871"/>
        <rFont val="Calibri"/>
        <family val="2"/>
        <scheme val="minor"/>
      </rPr>
      <t xml:space="preserve">(mínimo de 2% do total da RAL) </t>
    </r>
    <r>
      <rPr>
        <b/>
        <sz val="12"/>
        <color theme="1"/>
        <rFont val="Calibri"/>
        <family val="2"/>
        <scheme val="minor"/>
      </rPr>
      <t xml:space="preserve">   </t>
    </r>
  </si>
  <si>
    <r>
      <t xml:space="preserve">Reserva de Contingência
</t>
    </r>
    <r>
      <rPr>
        <b/>
        <sz val="12"/>
        <color rgb="FF006871"/>
        <rFont val="Calibri"/>
        <family val="2"/>
        <scheme val="minor"/>
      </rPr>
      <t xml:space="preserve">(até 2 % do total da RAL)   </t>
    </r>
    <r>
      <rPr>
        <b/>
        <sz val="12"/>
        <color indexed="21"/>
        <rFont val="Calibri"/>
        <family val="2"/>
        <scheme val="minor"/>
      </rPr>
      <t xml:space="preserve">           </t>
    </r>
  </si>
  <si>
    <t>OBS 1:  Vedada a inobservância de aplicação dos percentuais:
Atendimento - mínimo de 10% da RAL
Fiscalização – mínimo de 15% da RAL
Despesa com pessoal – até 55% das receitas correntes
Comunicação - mínimo de 3% da RAL
Objetivos Locais - mínimo de 6% da RAL
Patrocínios - máximo de 5% da RAL
ATHIS - mínimo de 2% da RAL
Reserva de Contingência - até 2% da RAL</t>
  </si>
  <si>
    <t>OBS 2: Os órgãos deliberativos dos CAU/UF poderão, mediante as justificativas próprias, Flexibilizar a aplicação de recursos mínimos e máximos na Programação do Plano de Ação e Orçamento de 2022, nos seguintes itens de despesas:
Capacitação – mínimo de 2% e máximo de 4% da folha de pagamento.
Apresentar justificativa no campo abaixo.</t>
  </si>
  <si>
    <t>JUSTIFICATIVA - quando da flexibilização da aplicação de recursos mínimos e máximos do limite estratégico de Capacitação do Plano de Ação e Orçamento de 2022.</t>
  </si>
  <si>
    <r>
      <t>Os itens de custo devem ser:
•</t>
    </r>
    <r>
      <rPr>
        <b/>
        <sz val="12"/>
        <color theme="1"/>
        <rFont val="Arial"/>
        <family val="2"/>
      </rPr>
      <t xml:space="preserve"> Pessoal (Salários, Encargos e Benefícios) </t>
    </r>
    <r>
      <rPr>
        <sz val="12"/>
        <color theme="1"/>
        <rFont val="Arial"/>
        <family val="2"/>
      </rPr>
      <t xml:space="preserve">
a) Pessoal e Encargos:  compreende salários; gratificações; 13º salário; férias; 1/3 férias, abono e horas extras; INSS; FGTS e PIS; vale transporte, auxílio alimentação, plano de saúde e outros benefícios.
b) Diárias – compreende diárias de funcionários com vínculo empregatício com o Conselho.
</t>
    </r>
    <r>
      <rPr>
        <b/>
        <sz val="12"/>
        <color theme="1"/>
        <rFont val="Arial"/>
        <family val="2"/>
      </rPr>
      <t>• Material de Consumo</t>
    </r>
    <r>
      <rPr>
        <sz val="12"/>
        <color theme="1"/>
        <rFont val="Arial"/>
        <family val="2"/>
      </rPr>
      <t xml:space="preserve"> – compreende material de expediente; informática; e outros materiais de consumo que não sejam classificados como material permanente. 
</t>
    </r>
    <r>
      <rPr>
        <b/>
        <sz val="12"/>
        <color theme="1"/>
        <rFont val="Arial"/>
        <family val="2"/>
      </rPr>
      <t xml:space="preserve">• Serviços de Terceiros: </t>
    </r>
    <r>
      <rPr>
        <sz val="12"/>
        <color theme="1"/>
        <rFont val="Arial"/>
        <family val="2"/>
      </rPr>
      <t xml:space="preserve">
a) Diárias – compreende diárias do presidente, de conselheiros e de convidados.
b) Passagens – compreende passagens de funcionários, presidente, conselheiros, e convidados.
c) Serviços Prestados (PF e PJ) – compreende todo serviço prestado por pessoa jurídica como: consultorias; serviços de comunicação e divulgação; manutenção de sistemas informatizados; locação de bens móveis e imóveis, condomínios, reparos e conservação de bens móveis e imóveis; serviços de água e energia elétrica; correios; telecomunicações e outras despesas correntes não classificáveis nos itens anteriores e  remunerações de serviços prestados por pessoa física; remuneração de estagiários, e remuneração de menores aprendizes.
</t>
    </r>
    <r>
      <rPr>
        <b/>
        <sz val="12"/>
        <color theme="1"/>
        <rFont val="Arial"/>
        <family val="2"/>
      </rPr>
      <t>. Transferências Correntes</t>
    </r>
    <r>
      <rPr>
        <sz val="12"/>
        <color theme="1"/>
        <rFont val="Arial"/>
        <family val="2"/>
      </rPr>
      <t xml:space="preserve">: compreende os repasses ao Fundo de Apoio; os repasses ao Centro de Serviço Compartilhado - CSC; convênios, acordos, ajuda as entidades e patrocínios.
</t>
    </r>
    <r>
      <rPr>
        <b/>
        <sz val="12"/>
        <color theme="1"/>
        <rFont val="Arial"/>
        <family val="2"/>
      </rPr>
      <t xml:space="preserve">. Reserva de Contingência: </t>
    </r>
    <r>
      <rPr>
        <sz val="12"/>
        <color theme="1"/>
        <rFont val="Arial"/>
        <family val="2"/>
      </rPr>
      <t xml:space="preserve">compreende as despesas não previstas no plano de ação.
</t>
    </r>
    <r>
      <rPr>
        <b/>
        <sz val="12"/>
        <color theme="1"/>
        <rFont val="Arial"/>
        <family val="2"/>
      </rPr>
      <t>. Encargos Diversos –</t>
    </r>
    <r>
      <rPr>
        <sz val="12"/>
        <color theme="1"/>
        <rFont val="Arial"/>
        <family val="2"/>
      </rPr>
      <t xml:space="preserve"> compreende as taxas bancárias; impostos e taxas diversas; despesas judiciais; e outros encargos.
</t>
    </r>
    <r>
      <rPr>
        <b/>
        <sz val="12"/>
        <color theme="1"/>
        <rFont val="Arial"/>
        <family val="2"/>
      </rPr>
      <t xml:space="preserve">. Imobilizado </t>
    </r>
    <r>
      <rPr>
        <sz val="12"/>
        <color theme="1"/>
        <rFont val="Arial"/>
        <family val="2"/>
      </rPr>
      <t>– compreende os investimentos como: aquisição de equipamentos e materiais permanentes; aquisição de imóveis; e outros investimentos.</t>
    </r>
  </si>
  <si>
    <t>TO</t>
  </si>
  <si>
    <t>SP</t>
  </si>
  <si>
    <t>SE</t>
  </si>
  <si>
    <t>SC</t>
  </si>
  <si>
    <t>RS</t>
  </si>
  <si>
    <t>RR</t>
  </si>
  <si>
    <t>RO</t>
  </si>
  <si>
    <t>RN</t>
  </si>
  <si>
    <t>RJ</t>
  </si>
  <si>
    <t>PR</t>
  </si>
  <si>
    <t>PI</t>
  </si>
  <si>
    <t>PB</t>
  </si>
  <si>
    <t>PA</t>
  </si>
  <si>
    <t>RRT - Quantidade</t>
  </si>
  <si>
    <t>MT</t>
  </si>
  <si>
    <t>PJ - Inadimplência</t>
  </si>
  <si>
    <t>MS</t>
  </si>
  <si>
    <t>PJ - Quantidade</t>
  </si>
  <si>
    <t>MG</t>
  </si>
  <si>
    <t>PF - Inadimplência</t>
  </si>
  <si>
    <t>1.1.3 Taxas e Multas</t>
  </si>
  <si>
    <t>MA</t>
  </si>
  <si>
    <t>GO</t>
  </si>
  <si>
    <t>Quantidades e Inadimplência</t>
  </si>
  <si>
    <t>ES</t>
  </si>
  <si>
    <t>DF</t>
  </si>
  <si>
    <t>Superávit Financeiro 2020</t>
  </si>
  <si>
    <t>CE</t>
  </si>
  <si>
    <t>Encontro de Contas</t>
  </si>
  <si>
    <t>BA</t>
  </si>
  <si>
    <t>Fundo de Apoio - Plenárias Ampliadas</t>
  </si>
  <si>
    <t>AP</t>
  </si>
  <si>
    <t>Fundo de Apoio - APORTE</t>
  </si>
  <si>
    <t>AM</t>
  </si>
  <si>
    <t>CSC - SISCAF</t>
  </si>
  <si>
    <t>AL</t>
  </si>
  <si>
    <t>CSC - Atendimento</t>
  </si>
  <si>
    <t>AC</t>
  </si>
  <si>
    <t>CSC - Fiscalização</t>
  </si>
  <si>
    <t>Quantitativo</t>
  </si>
  <si>
    <t>Inadimplência</t>
  </si>
  <si>
    <t>Taxas Bancárias
(Outras Receitas)</t>
  </si>
  <si>
    <t>Manutenção</t>
  </si>
  <si>
    <t>Atendimento</t>
  </si>
  <si>
    <t>Fiscalização</t>
  </si>
  <si>
    <t>Repasse do Fundo de Apoio</t>
  </si>
  <si>
    <t>Utilização com Plenárias Ampliadas</t>
  </si>
  <si>
    <t>Aporte ao
Fundo de Apoio</t>
  </si>
  <si>
    <t>Reprogramação</t>
  </si>
  <si>
    <t>Exercícios Anteriores</t>
  </si>
  <si>
    <t>Exercício</t>
  </si>
  <si>
    <t>Demais valores a checar</t>
  </si>
  <si>
    <t>Fontes de Receitas Correntes (80%)</t>
  </si>
  <si>
    <t>Superávit financiero
apurado em 2020</t>
  </si>
  <si>
    <t>RRT</t>
  </si>
  <si>
    <t>PJ</t>
  </si>
  <si>
    <t>PF</t>
  </si>
  <si>
    <t>Taxas</t>
  </si>
  <si>
    <t>Informações para os Indicadores</t>
  </si>
  <si>
    <t>Ressarcimento</t>
  </si>
  <si>
    <t>SISCAF</t>
  </si>
  <si>
    <t>CSC</t>
  </si>
  <si>
    <t>Fundo de Apoio</t>
  </si>
  <si>
    <t>UF</t>
  </si>
  <si>
    <t>Reprogramação 
2022</t>
  </si>
  <si>
    <t>Ativos</t>
  </si>
  <si>
    <t>Potencial Pagantes</t>
  </si>
  <si>
    <t>Pessoas e Infraestrutura</t>
  </si>
  <si>
    <t>Processos Internos</t>
  </si>
  <si>
    <t>Qde.</t>
  </si>
  <si>
    <t>Part. %</t>
  </si>
  <si>
    <t>Total Iniciativas</t>
  </si>
  <si>
    <t>Atividade</t>
  </si>
  <si>
    <t>Projeto</t>
  </si>
  <si>
    <t>Projetos/Objetivos Estratégicos</t>
  </si>
  <si>
    <t>Perspectivas</t>
  </si>
  <si>
    <t>Projeto Específico</t>
  </si>
  <si>
    <t>2) Os objetivos estratégicos em âmbito nacional, foram mantidos em 2022: Fiscalização, AU como Política de Estado e Acesso da Sociedade à AU, e devem ser obrigatoriamente trabalhados.</t>
  </si>
  <si>
    <t>Objetivos Locais</t>
  </si>
  <si>
    <t>selecione abaixo</t>
  </si>
  <si>
    <t>PF - Ativos</t>
  </si>
  <si>
    <t>PF - Potencial Pagantes</t>
  </si>
  <si>
    <t>nº da coluna</t>
  </si>
  <si>
    <t>População estimada 2021</t>
  </si>
  <si>
    <t>Dados Geográficos</t>
  </si>
  <si>
    <t>População - 2021</t>
  </si>
  <si>
    <t>Selecione seu UF</t>
  </si>
  <si>
    <t>gerplan2022</t>
  </si>
  <si>
    <t>3) A Receita de Arrecadação Líquida (RAL) será calculada com base na Arrecadação Total, ou seja, com valores do Exercício de 2022 e Exercícios Anteriores. (Anexo 2)</t>
  </si>
  <si>
    <t>4) Vedada a inobservância de aplicação dos percentuais mínimo e máximo, com exceção da Capacitação (Anexo 2).</t>
  </si>
  <si>
    <t>5) Os órgãos deliberativos dos CAU/UF poderão, mediante as justificativas próprias, flexibilizar a aplicação de recursos mínimos e máximos em Capacitação na Programação do Plano de Ação e Orçamento de 2022. (Anexo 2)</t>
  </si>
  <si>
    <t>6) O valor da Reprogramação 2021 deve ser igual ao valor da última Reprogramação APROVADA 2021, ou seja, sem transposição.</t>
  </si>
  <si>
    <t>7) Para fins de manter a padronização deste documento:
- Não alterar cores, fórmulas e formatações no modelo;
- No preenchimento das células utilizar letras maiúsculas apenas em siglas e no começo da frase.</t>
  </si>
  <si>
    <t>8) Atentar as orientações em amarelo em cada aba da Planilha.</t>
  </si>
  <si>
    <t>9) Não reexibir e alterar as abas ocultas, são para uso posterior da GERPLAN e auxiliarão na elaboração dos Pareceres da Programação 2022.</t>
  </si>
  <si>
    <r>
      <t xml:space="preserve">Orientação: As células sinalizadas, em cinza, são fórmulas e não devem ser modificadas. Verificar os comentários colocando o cursor na célula correspondente, no cabeçalho. </t>
    </r>
    <r>
      <rPr>
        <b/>
        <sz val="12"/>
        <color theme="1"/>
        <rFont val="Calibri"/>
        <family val="2"/>
        <scheme val="minor"/>
      </rPr>
      <t>Caso seja necessário aumentar o número de linhas, favor verificar a continuidade das fórmulas. 
O enquadramento aos Objetivos de Desenvolvimento Sustentável (ODS) é facultativo. Cabe ressaltar que o aporte ao CSC e o custeio da Participação do Presidente nas Plenárias Ampliadas, para os CAU/Básicos, devem ser custeados pelo Fundo de Apoio, obedecendo as Resoluções 119 e 126 e a Proposta 02/2021 - CG-FA.</t>
    </r>
  </si>
  <si>
    <t>Orientação:  Na proposta da Programação 2022, para as receitas  de Arrecadação - anuidades de PF e PJ  (do exercício 2022 e dos exercícios anteriores), RRT, taxas e multas, devem ser considerados os valores constantes das Diretrizes da Programação 2022. 
Caso o CAU/UF apresente projeções de receitas divergentes das aprovadas nas Direrizes da Programação 2022, é necessário justificar a alteração e nos informar qual a nova posição do CAU/UF em relação às quantidades e inadimplências aplicadas às projeções de 2022 (PF; PJ; RRT; Taxas e Multas). Para tanto, deve-se utilizar a Minuta das Diretrizes da Programação 2022 e encaminhá-la à GERPLAN.
As receitas de exercícios anteriores devem ser projetadas no mínimo de 10% do valor total a ser arrecadado por cada CAU/UF.  As células sinalizadas, em cinza, são fórmulas e não devem ser modificadas. Verificar os comentários colocando o cursor na célula correspondente, no cabeçalho.</t>
  </si>
  <si>
    <t xml:space="preserve">Part. %
 (E)           </t>
  </si>
  <si>
    <t>A - FONTES</t>
  </si>
  <si>
    <t>B. APLICAÇÕES</t>
  </si>
  <si>
    <t>III a - Percentual de utilização para capital</t>
  </si>
  <si>
    <t>III b - Percentual de utilização para PE</t>
  </si>
  <si>
    <t>P / A / PE</t>
  </si>
  <si>
    <t>Obj. Estratégico</t>
  </si>
  <si>
    <t>-</t>
  </si>
  <si>
    <t>Comissão de planejamento e finanças</t>
  </si>
  <si>
    <t>Manutenção das atividades operacionais da comissão de planejamento e finanças</t>
  </si>
  <si>
    <t>Promover a realização das atividades operacionais da comissão de planejamento e finanças.</t>
  </si>
  <si>
    <t>Procedimentos aprimorados e processos deliberados</t>
  </si>
  <si>
    <t>Pagamento do CSC - centro de serviços compartilhados - 87,3%</t>
  </si>
  <si>
    <t>Manutenção dos sistemas e suporte prestados ao CAU/RS via CSC</t>
  </si>
  <si>
    <t>Pagamento do CSC - centro de serviços compartilhados - 12,7%</t>
  </si>
  <si>
    <t>Pagamento do fundo de apoio</t>
  </si>
  <si>
    <t>Realizar os aportes financeiros ao CAU/BR para o fundo de apoio financeiro dos CAU/UF.</t>
  </si>
  <si>
    <t>Comissão de organização e administração</t>
  </si>
  <si>
    <t>Manutenção das atividades operacionais da comissão de organização e administração</t>
  </si>
  <si>
    <t>Promover a realização das atividades operacionais da comissão de administração e organização do CAU/RS.</t>
  </si>
  <si>
    <t>Contribuir para o bom funcionamento da comissão de organização e administração.</t>
  </si>
  <si>
    <t>Capacitação de conselheiros e funcionários nas áreas técnicas e comportamentais</t>
  </si>
  <si>
    <t>Eficiência do quadro funcional e de dirigentes</t>
  </si>
  <si>
    <t>Capacitação e desenvolvimento de dirigentes e funcionários</t>
  </si>
  <si>
    <t>Comissão de ética e disciplina</t>
  </si>
  <si>
    <t>Manutenção das atividades operacionais da comissão de ética e disciplina</t>
  </si>
  <si>
    <t>Prover insumos e recursos necessários à manutenção das atividades da comissão de ética e disciplina.</t>
  </si>
  <si>
    <t>Contribuir para o bom funcionamento da comissão e ética e disciplina.</t>
  </si>
  <si>
    <t>Comissão de ensino e formação</t>
  </si>
  <si>
    <t>Manutenção das atividades operacionais da comissão de ensino e formação</t>
  </si>
  <si>
    <t>Promover insumos e recursos necessários à manutenção das atividades da comissão de ensino e formação.</t>
  </si>
  <si>
    <t>Contribuir para o bom funcionamento da comissão de ensino e formação</t>
  </si>
  <si>
    <t>Comissão de exercício profissional</t>
  </si>
  <si>
    <t>Manutenção das atividades operacionais da comissão de exercício profissional</t>
  </si>
  <si>
    <t>Promover as atividades da comissão de exercício profissional.</t>
  </si>
  <si>
    <t>Acompanhamento de ações da fiscalização, processos administrativos e assuntos correlatos ao exercício profissional</t>
  </si>
  <si>
    <t>Comissão de política urbana e ambiental</t>
  </si>
  <si>
    <t>Manutenção das atividades operacionais da CPUA - comissão de políticas urbanas e ambientais</t>
  </si>
  <si>
    <t>Prover insumos e recursos necessários à manutenção das atividades  da CPUA - comissão de políticas urbanas e ambientais.</t>
  </si>
  <si>
    <t>Fomentar debate e ações sobre política urbana e ambiental.</t>
  </si>
  <si>
    <t>Colegiado das entidades estaduais de arquitetos e urbanistas do CAU/RS</t>
  </si>
  <si>
    <t>Manutenção das atividades operacionais do CEAU - colegiado das entidades estaduais de arquitetos e urbanistas do CAU/RS</t>
  </si>
  <si>
    <t>Prover insumos e recursos necessários à manutenção das atividades  do CEAU - colegiado das entidades estaduais de Arquitetos e Urbanistas do CAU/RS.</t>
  </si>
  <si>
    <t>Fomentar debate e ações sobre formação e exercício junto as entidades.</t>
  </si>
  <si>
    <t>Comissão de patrimônio cultural</t>
  </si>
  <si>
    <t>Manutenção das atividades operacionais da comissão de patrimônio cultural</t>
  </si>
  <si>
    <t>Promover as atividades da comissão de patrimônio cultural.</t>
  </si>
  <si>
    <t>Contribuir para o bom funcionamento da comissão de patrimônio cultural.</t>
  </si>
  <si>
    <t>Presidência</t>
  </si>
  <si>
    <t>Manutenção das atividades da presidência/plenário/conselho diretor</t>
  </si>
  <si>
    <t>Promover as atividades operacionais do plenário e do conselho diretor do CAU/RS.</t>
  </si>
  <si>
    <t>Atender o que determina o regimento interno do Conselho,  além de outras necessidades.</t>
  </si>
  <si>
    <t xml:space="preserve">Edital de apoio institucional de interesse do conselho </t>
  </si>
  <si>
    <t>Promover divulgação da Arquitetura e Urbanismo para sociedade e profissionais.</t>
  </si>
  <si>
    <t>Valorizar a profissão diante da sociedade, tornando claro o papel do arquiteto e urbanista.</t>
  </si>
  <si>
    <t xml:space="preserve">Edital de patrocínios para projetos de entidades de arquitetos e urbanistas </t>
  </si>
  <si>
    <t>Edital de patrocínios para publicações</t>
  </si>
  <si>
    <t>Promover as atividades operacionais do CAU/RS.</t>
  </si>
  <si>
    <t>Valorização profissional</t>
  </si>
  <si>
    <t xml:space="preserve">Promover a Arquitetura e Urbanismo. </t>
  </si>
  <si>
    <t>Estimular o direito das famílias de baixa renda à assistência técnica pública e gratuita para o projeto e a construção de habitação em interesse social.</t>
  </si>
  <si>
    <t>Possibilitar o acesso de pessoas de baixa renda à assistência técnica pública e gratuita para o projeto e a construção de habitação de interesse social.</t>
  </si>
  <si>
    <t>Pesquisa junto às universidades</t>
  </si>
  <si>
    <t>Conhecimento da atual situação da profissão no Estado do Rio Grande do Sul</t>
  </si>
  <si>
    <t>Memória e acervo</t>
  </si>
  <si>
    <t>Aproximar a sociedade do Conselho através do conhecimento histórico difundido pelo Memorial</t>
  </si>
  <si>
    <t>Participação em eventos</t>
  </si>
  <si>
    <t>Propiciar a disseminação do conhecimento e a troca de experiência entre o CAU/RS e os demais entes, órgãos e sociedade</t>
  </si>
  <si>
    <t>Casa Saudável</t>
  </si>
  <si>
    <t>Gabinete da presidência</t>
  </si>
  <si>
    <t>Manutenção das Atividades do Gabinete da Presidência</t>
  </si>
  <si>
    <t>Promover as atividades operacionais do gabinete da presidência.</t>
  </si>
  <si>
    <t>Projeto de fomento à assistência técnica em habitação de interesse social</t>
  </si>
  <si>
    <t>Secretaria geral da mesa</t>
  </si>
  <si>
    <t>Documentação e memória</t>
  </si>
  <si>
    <t>Promoção de eventos</t>
  </si>
  <si>
    <t>Manutenção das Atividades da Secretaria Geral da Mesa</t>
  </si>
  <si>
    <t>Promover as atividades operacionais da unidade de tecnologia da informação</t>
  </si>
  <si>
    <t>Manutenção das atividades da unidade de tecnologia da informação</t>
  </si>
  <si>
    <t>Promover as atividades operacionais da secretaria geral da mesa.</t>
  </si>
  <si>
    <t>Manutenção das atividades de envio de bens e documentos</t>
  </si>
  <si>
    <t>Execução das atividades de apoio administrativo , atendimento e fiscalização do Conselho mediante a notificação dos profissionais.</t>
  </si>
  <si>
    <t>Dar maior visibilidade do Conselho e melhores condições de atendimento.</t>
  </si>
  <si>
    <t>Gerência geral</t>
  </si>
  <si>
    <t>Manutenção das atividades da gerência geral</t>
  </si>
  <si>
    <t>Promover as atividades operacionais da gerência geral, planejamento, TI e protocolo.</t>
  </si>
  <si>
    <t>Atingir a excelência na gestão do conselho.</t>
  </si>
  <si>
    <t>Gerência administrativa</t>
  </si>
  <si>
    <t>Manutenção das atividades da gerência administrativa</t>
  </si>
  <si>
    <t>Atender as demandas de apoio para o CAU/RS</t>
  </si>
  <si>
    <t>Espaço do arquiteto</t>
  </si>
  <si>
    <t>Melhorias do espaço e infraestrutura do CAU/RS</t>
  </si>
  <si>
    <t>Gerência de Fiscalização</t>
  </si>
  <si>
    <t>Fiscalização vinculada à sede</t>
  </si>
  <si>
    <t>Promover e manter as atividades de fiscalização do CAU/RS.</t>
  </si>
  <si>
    <t>Permitir que a fiscalização da arquitetura e urbanismo no Rio Grande Sul seja eficiente, atendendo as demandas e frentes de fiscalização.</t>
  </si>
  <si>
    <t>Escritório regional de Santa Maria</t>
  </si>
  <si>
    <t xml:space="preserve">Promover a aproximação do Conselho com os arquitetos e urbanistas, empresas e sociedade, levando para todos os munícipios do estado o mesmo atendimento oferecido na sede em Porto Alegre. Além disso, o programa irá ampliar e aprimorar as ações de fiscalização. </t>
  </si>
  <si>
    <t>Consolidação do Conselho de Arquitetura e Urbanismo do Rio Grande do Sul e uma maior satisfação dos usuários</t>
  </si>
  <si>
    <t>Escritório regional de Pelotas</t>
  </si>
  <si>
    <t>Escritório regional de Passo Fundo</t>
  </si>
  <si>
    <t>Escritório regional de Caxias do Sul</t>
  </si>
  <si>
    <t>Gerência de atendimento</t>
  </si>
  <si>
    <t>Manutenção das atividades da gerência de atendimento</t>
  </si>
  <si>
    <t>Realizar os procedimentos operacionais necessários ao atendimento o das solicitações e demandas, oferecendo um serviço de qualidade para os usuários arquitetos e urbanistas, empresas e sociedade.</t>
  </si>
  <si>
    <t>Atendimento de todas as solicitações de forma padronizada, eficiente e com qualidade, promovendo a satisfação dos usuários.</t>
  </si>
  <si>
    <t>Gerência financeira</t>
  </si>
  <si>
    <t>Manutenção das atividades da gerência financeira</t>
  </si>
  <si>
    <t>Manutenção do Equilíbrio Financeiro do CAU/RS</t>
  </si>
  <si>
    <t>Gerência jurídica</t>
  </si>
  <si>
    <t>Manutenção das atividades da gerência jurídica</t>
  </si>
  <si>
    <t>Fornecer assessoramento jurídico para o Conselho.</t>
  </si>
  <si>
    <t>Adequação das atividades do Conselho aos dispositivos legais</t>
  </si>
  <si>
    <t>Gerência de planejamento</t>
  </si>
  <si>
    <t>Manutenção das atividades da gerência de planejamento</t>
  </si>
  <si>
    <t>Promover as atividades operacionais da gerência de planejamento</t>
  </si>
  <si>
    <t>Melhoria nos processos internos e gestão da estratégia</t>
  </si>
  <si>
    <t>Gerência de comunicação</t>
  </si>
  <si>
    <t>Manutenção das atividades da gerência de comunicação</t>
  </si>
  <si>
    <t>Promover as atividades operacionais da gerência de comunicação</t>
  </si>
  <si>
    <t xml:space="preserve">Valorizar a profissão de arquiteto e urbanista perante a sociedade. </t>
  </si>
  <si>
    <t>PREENCHIMENTO FACULTATIVO: Anexo 4 - Quadro Descritivo de Ações e Metas do Plano de Ação - Programação 2022</t>
  </si>
  <si>
    <t xml:space="preserve">As informações devem ser transcritas para Quadro Geral. As células sinalizadas, em cinza, são fórmulas e não devem ser modificadas.
OBS: As ações estratégias são específicas de cada objetivo estratégico. A opção "Não se aplica" deve ser utilizada quando a ação  descrita não faz parte do rol das "Ações Estratégicas Prioritárias". </t>
  </si>
  <si>
    <t>Denominação do Projeto ou Atividade :</t>
  </si>
  <si>
    <t>Ação</t>
  </si>
  <si>
    <t>Custo da Ação</t>
  </si>
  <si>
    <t xml:space="preserve">Fundo de Apoio </t>
  </si>
  <si>
    <t>Metas Físicas</t>
  </si>
  <si>
    <t>(R$)</t>
  </si>
  <si>
    <t>%
(C=B/A)</t>
  </si>
  <si>
    <t>A custear com Recursos do Fundo de Apoio (R$) 
(D)</t>
  </si>
  <si>
    <t>% Utilização do 
Fundo de Apoio 
(E=D/B)</t>
  </si>
  <si>
    <t>Meta da Ação  (Quant.)</t>
  </si>
  <si>
    <t>Descrições das Ações</t>
  </si>
  <si>
    <t>Ações Estratégicas Prioritárias</t>
  </si>
  <si>
    <t>Reprogramação 
2021
(A)</t>
  </si>
  <si>
    <t>Programação 
2022
(B)</t>
  </si>
  <si>
    <t>Capital</t>
  </si>
  <si>
    <t xml:space="preserve">Não </t>
  </si>
  <si>
    <t>Orientações de Preenchimento do Anexo 4.Descritivo</t>
  </si>
  <si>
    <t>1. Denominação do Projeto ou Atividade : Nome da iniciativa estratégica de acordo com o Quadro Geral.
2. Metas Físicas: bem ou serviço qualificado e quantificado resultante da execução da ação. Para efeito de padronização, as metas são organizadas em dois conjuntos
         a) Meta da ação: consiste no quantitativo da ação. 
         b) Descrição das ações: descrevem as iniciativas especificas que devem ser executadas dentro de um projeto ou de uma atividade para produzir os resultados estabelecidos. A ação deve transmitir com clareza a sua finalidade, conteúdo e forma de implementação (o que vai ser feito, por que será feito, onde será feito, quando será feito, como vai ser feito e com que finalidade, por quem será feito e quanto vai custar). Exemplo: Realização de cursos de capacitação no SICCAU. 
        c) Ações Estratégicas Prioritárias: selecionar as ações que melhor se enquadram com o objetivo geral. A opção "Não se aplica" deve ser utilizada quando a ação descrita não faz parte do rol das "Ações Estratégicas Prioritárias". As ações selecionadas devem respeitar as  correlações com os objetivos estratégicos, conforme detalhamento na aba "Ações Estratégicas-Descrição".
3. Reprogramação 2021: Considerar os valores aprovados vigentes na Reprogramação do Plano de Ação 2021, de acordo com o quadro geral.
4. Programação 2022: Considerar os valores previstos Programação do Plano de Ação 2022, de acordo com o quadro geral.
5. A custear com Recursos do Fundo de Apoio: Informar se o projeto ou atividade será financiada por recursos oriundos do fundo de apoio dos CAU/UF, apenas para os CAU/Básicos. Atenção: Cabe salientar que os CAU Básico, na elaboração de sua programação para 2022, deverão observar com maior rigor todos os procedimentos e estratégias estabelecidas nas presentes Diretrizes e na Resolução nº 119, valendo ressaltar “Art. 6° Os recursos provenientes do Fundo de Apoio deverão ser utilizados em estrita conformidade com o Plano de Ação aprovado, sendo vedada a sua utilização para despesas de capital”. Vale ressaltar também  que a participação nas reuniões plenárias ampliadas e o valor do CSC devem ser custeados pelo Fundo de Apoio.
6. % Utilização do Fundo de Apoio: representatividade da utilização do fundo para custear a ação.</t>
  </si>
  <si>
    <t>Realizar reuniões</t>
  </si>
  <si>
    <t>Efetuar ressarcimentos aos profissionais</t>
  </si>
  <si>
    <t>As reuniões em 2022 ocorrerão na proporção de 50% no formato presencial e 50% no formato virtual.</t>
  </si>
  <si>
    <t>Participação mensal do CAU/RS no CSC, instituído pelo CAU/BR, na forma definida na Resolução 92 - 87,3% do CSC</t>
  </si>
  <si>
    <t>Participação mensal do CAU/RS no CSC, instituído pelo CAU/BR, na forma definida na Resolução 92 - 12,7% do CSC</t>
  </si>
  <si>
    <t>Participação mensal do fundo de apoio aos CAU Básico, na forma aprovada nas Resoluções nº 27, 72 e 96</t>
  </si>
  <si>
    <t>Capacitar os servidores e dirigentes</t>
  </si>
  <si>
    <t>Realizar audiências de conciliação e/ou instrução</t>
  </si>
  <si>
    <t>Pesquisa</t>
  </si>
  <si>
    <t>Remuneração de Pessoal (salários e encargos)</t>
  </si>
  <si>
    <t>Remuneração de Pessoal (despesa indenizatória)</t>
  </si>
  <si>
    <t>Remuneração de estagiários</t>
  </si>
  <si>
    <t>Software Omnichannel</t>
  </si>
  <si>
    <t>Periféricos para Coleta Biométrica</t>
  </si>
  <si>
    <t>Demais Serviços Prestados</t>
  </si>
  <si>
    <t>Combustíveis</t>
  </si>
  <si>
    <t>Passagens, hospedagem e diárias de empregados</t>
  </si>
  <si>
    <t xml:space="preserve">Locação de impressoras
</t>
  </si>
  <si>
    <t xml:space="preserve">Revisão e seguro dos furgões e dos carros
</t>
  </si>
  <si>
    <t xml:space="preserve">Aquisição de furgões </t>
  </si>
  <si>
    <t xml:space="preserve">Estacionamentos de veículos </t>
  </si>
  <si>
    <t xml:space="preserve">Manutenção e conservação dos veículos </t>
  </si>
  <si>
    <t xml:space="preserve">Suprimento de fundos </t>
  </si>
  <si>
    <t>Contratação de serviços diversos</t>
  </si>
  <si>
    <t>Uniformes e EPIs</t>
  </si>
  <si>
    <t>Máquinas e equipamentos</t>
  </si>
  <si>
    <t xml:space="preserve">Combustíveis
</t>
  </si>
  <si>
    <t xml:space="preserve">Passagens, hospedagem e diária de empregados.
</t>
  </si>
  <si>
    <t>Serviço - Pagamento do condomínio do imóvel alugado para o escritório regional</t>
  </si>
  <si>
    <t xml:space="preserve">Serviço de fornecimento de luz elétrica para o imóveis alugados para o escritório regional
</t>
  </si>
  <si>
    <t>Serviço de limpeza</t>
  </si>
  <si>
    <t>Taxas e impostos</t>
  </si>
  <si>
    <t>Manutenção do escritório</t>
  </si>
  <si>
    <t>Aquisição de bens permanentes</t>
  </si>
  <si>
    <t>Demais serviços prestados</t>
  </si>
  <si>
    <t>Remuneração de Pessoal (benefícios)</t>
  </si>
  <si>
    <t>Locação  de espaço para implantação do Escritório Regional de Santa Maria</t>
  </si>
  <si>
    <t>Estacionamentos de veículos</t>
  </si>
  <si>
    <t>Serviço de alarme</t>
  </si>
  <si>
    <t>Locação de espaço para implantação do escritório regional de pelotas</t>
  </si>
  <si>
    <t>Locação de impressoras</t>
  </si>
  <si>
    <t>Remuneração de pessoal (salários e encargos)</t>
  </si>
  <si>
    <t>Remuneração de pessoal (benefícios)</t>
  </si>
  <si>
    <t>Estacionamento de veículos</t>
  </si>
  <si>
    <t>Manutenção das atividades do escritório</t>
  </si>
  <si>
    <t>Locação de Espaço para implantação do Escritório Regional de Passo Fundo</t>
  </si>
  <si>
    <t>Serviço de fornecimento de luz elétrica para o imóveis alugados para o escritório regional</t>
  </si>
  <si>
    <t>Serviço de Limpeza</t>
  </si>
  <si>
    <t>Locação  de Espaço para implantação do Escritório Regional de Caxias do Sul</t>
  </si>
  <si>
    <t>Manutenção das atividades da gerência administrativa e financeira</t>
  </si>
  <si>
    <t>Gerência administrativa e financeira</t>
  </si>
  <si>
    <t>Taxas de lixo</t>
  </si>
  <si>
    <t>Contratação empresa de cobranças</t>
  </si>
  <si>
    <t>Cobranças Inadimplentes</t>
  </si>
  <si>
    <t>Pagamento de encargos diversos com impostos e taxas, taxas bancárias, entre outros de mesmo gênero</t>
  </si>
  <si>
    <t>Contratação de assessoria contábil para folha de pagamento</t>
  </si>
  <si>
    <t xml:space="preserve">Diárias, passagens, hospedagem e deslocamento </t>
  </si>
  <si>
    <t>Serviço de limpeza e higienização dos carpetes</t>
  </si>
  <si>
    <t>Serviço de manutenção e limpeza dos ar condicionados centrais</t>
  </si>
  <si>
    <t xml:space="preserve">Serviços de telefonia </t>
  </si>
  <si>
    <t>Serviço - Limpeza e copeiragem</t>
  </si>
  <si>
    <t>Serviço - publicação de licitações no DOU e Jornais de Grande Circulação</t>
  </si>
  <si>
    <t>Serviço  de medicina do trabalho e saúde ocupacional - exames rotineiros, admissional, demissional, entre outros.</t>
  </si>
  <si>
    <t>Demais serviços prestados - contratações não previstas</t>
  </si>
  <si>
    <t>Outros materiais de consumo não previstos</t>
  </si>
  <si>
    <t>Manutenção de Artífice de mão de obra (serviço e material)</t>
  </si>
  <si>
    <t>Aquisição de materiais de expediente e escritório</t>
  </si>
  <si>
    <t>Aquisição de materiais de higiene e limpeza</t>
  </si>
  <si>
    <t>Aquisição de materiais de copa e elétrica</t>
  </si>
  <si>
    <t>Aquisição de bens permanentes de apoio administrativo e operacional (imobilizado)</t>
  </si>
  <si>
    <t>Serviço - segurança e monitoramento de bens imóveis (sede)</t>
  </si>
  <si>
    <t>Serviço - Seguro de bens imóveis (03 pavimentos) + ALMOX EXTERNO</t>
  </si>
  <si>
    <t>Serviço - Pagamento do condomínio de três pavimentos + ALMOX EXTERNO</t>
  </si>
  <si>
    <t>Locação Almox G1 e externo</t>
  </si>
  <si>
    <t xml:space="preserve">Serviço de Fornecimento de Luz Elétrica - Considerado quatro pavimentos do Edifício La Defense </t>
  </si>
  <si>
    <t xml:space="preserve">Remuneração de estagiários  2 + benefícios   </t>
  </si>
  <si>
    <t>Combustíveis lubrificantes para  veículos de passeio e furgão</t>
  </si>
  <si>
    <t>Manutenção de veículos</t>
  </si>
  <si>
    <t>Sistema Ponto Web (serviço)</t>
  </si>
  <si>
    <t>Vacinas da gripe e COVID</t>
  </si>
  <si>
    <t>Suprimento de fundos</t>
  </si>
  <si>
    <t>Locação de Purificador de Água</t>
  </si>
  <si>
    <t>Remuneração de pessoal</t>
  </si>
  <si>
    <t>Realização de plenárias</t>
  </si>
  <si>
    <t>Realização de reuniões do conselho diretor</t>
  </si>
  <si>
    <t>Realização de reuniões de comissões temporárias</t>
  </si>
  <si>
    <t>Edital de apoio institucional de interesse do conselho</t>
  </si>
  <si>
    <t>Edital de patrocínios para projeto de entidades de arquitetos e urbanistas</t>
  </si>
  <si>
    <t>Realizar projeto de valorização profissional</t>
  </si>
  <si>
    <t>Realizar projeto de capacitação em ATHIS</t>
  </si>
  <si>
    <t>Realizar pesquisa junto às universidades</t>
  </si>
  <si>
    <t>Mapeamento dos acervos de arquitetura e urbsnismo do rio grande do sul</t>
  </si>
  <si>
    <t>Participar de eventos externos</t>
  </si>
  <si>
    <t>Realizar a segunda fase do projeto casa saudável</t>
  </si>
  <si>
    <t>Remuneração de estagiário</t>
  </si>
  <si>
    <t>Edital para instalação dos escritórios municipais</t>
  </si>
  <si>
    <t>Realizar edital para instalação de 05 escritórios públicos municipais de ATHIS nos municípios do RS</t>
  </si>
  <si>
    <t>Projeto Nenhuma Casa sem Banheiro</t>
  </si>
  <si>
    <t>Fomento para implantação de programas municipais junto ao governo do RS para programa estadual</t>
  </si>
  <si>
    <t>Locação Central Telefônica</t>
  </si>
  <si>
    <t>Locação de Impressoras</t>
  </si>
  <si>
    <t>Aquisições de Hardware (imobilizado)</t>
  </si>
  <si>
    <t>Componentes de reposição</t>
  </si>
  <si>
    <t>Serviço de Link Dedicado e ADSL</t>
  </si>
  <si>
    <t>Contratação de suporte especializado em infraestrutura de TI</t>
  </si>
  <si>
    <t>Aquisição de software (imobilizado)</t>
  </si>
  <si>
    <t>Licenças de software</t>
  </si>
  <si>
    <t>Omnichannel</t>
  </si>
  <si>
    <t>Remunerar o pessoal (salários e encargos)</t>
  </si>
  <si>
    <t>Remunerar o pessoal (benefícios)</t>
  </si>
  <si>
    <t>Certificação Digital Conselheiros - Gestão 2021/2023</t>
  </si>
  <si>
    <t>Equipamentos para videoconferência</t>
  </si>
  <si>
    <t>Software para reuniões e eventos virtuais</t>
  </si>
  <si>
    <t>Aquisição de acessórios para hardware</t>
  </si>
  <si>
    <t>Firewall</t>
  </si>
  <si>
    <t>Aquisição de mobiliário</t>
  </si>
  <si>
    <t>Serviço de envio de correspondências</t>
  </si>
  <si>
    <t>Contratação de serviços de organização arquivistiva, digitalização e guarda dos documentos que compõem o acervo do CAU/RS.</t>
  </si>
  <si>
    <t>Seminários regionais</t>
  </si>
  <si>
    <t xml:space="preserve">Prêmio CAU </t>
  </si>
  <si>
    <t>Semana da Arquitetura e Urbanismo</t>
  </si>
  <si>
    <t>Participação ou Realização de Eventos no Estado do Rio Grande do Sul (Formaturas, Palestras, Seminários, Reuniões Institucionais, etc)</t>
  </si>
  <si>
    <t>Projeto Especial para Desenvolvimento e Implantação do Museu da Arquitetura e Urbanismo do Rio Grande do Sul</t>
  </si>
  <si>
    <t>Projeto Especial para Análise, diagnóstico e implantação de melhorias em infraestrutura de TI</t>
  </si>
  <si>
    <t>Remuneração de Pessoal  (natureza indenizatória)</t>
  </si>
  <si>
    <t>Realizar a Convenção de Planejamento Estratégico</t>
  </si>
  <si>
    <t>Serviço - Limpeza, copeiragem e manutenção</t>
  </si>
  <si>
    <t>Serviços de telecomunicações - telefone, internet moden, celulares</t>
  </si>
  <si>
    <t>Serviço  de medicina do trabalho e saúde ocupacional - exames rotineiros, admissional, admissional, entre outros.</t>
  </si>
  <si>
    <t>Aquisição de materiais de apoio administrativo e operacional (expediente, copa/cozinha, higiene e limpeza)</t>
  </si>
  <si>
    <t>Serviço - segurança e monitoramento de bens imóveis (03 pavimentos) e do espaço alugado para os escritórios regionais</t>
  </si>
  <si>
    <t>Serviço - Seguro de bens móveis e imóveis (03 pavimentos)</t>
  </si>
  <si>
    <t>Serviço - Pagamento do condomínio de três pavimentos do La Defense e locação de auditório</t>
  </si>
  <si>
    <t xml:space="preserve">Serviço de Fornecimento de luz elétrica para os três pavimentos do Edifício La Defense </t>
  </si>
  <si>
    <t xml:space="preserve">Remuneração de estagiários   </t>
  </si>
  <si>
    <t>Combustíveis Lubrificantes para veículos de passeio e furgão</t>
  </si>
  <si>
    <t xml:space="preserve">Aquisição de vacinas da gripe </t>
  </si>
  <si>
    <t>Locação de imóvel para almoxarifado</t>
  </si>
  <si>
    <t xml:space="preserve">Aquisição de acessórios para hardware </t>
  </si>
  <si>
    <t>Contratação de sistema para folha de pagamento</t>
  </si>
  <si>
    <t>Contratação de Sistema Ponto Web</t>
  </si>
  <si>
    <t>Locação de purificadores de água</t>
  </si>
  <si>
    <t>Apoio à criação do Espaço do Arquiteto</t>
  </si>
  <si>
    <t>Criação do Espaço do Arquiteto</t>
  </si>
  <si>
    <t>Suprimento de Fundos</t>
  </si>
  <si>
    <t>Serviços - área contábil</t>
  </si>
  <si>
    <t>Pagamento de encargos diversos com impostos e taxas, taxas bancárias, entre outros de mesmo gênero.</t>
  </si>
  <si>
    <t>Contratação de serviços de transporte</t>
  </si>
  <si>
    <t>Aquisição de software</t>
  </si>
  <si>
    <t>Pagamento de despesas com processos judiciais</t>
  </si>
  <si>
    <t xml:space="preserve">Pagamento de custas judiciais, taxas cartoriais e demais taxas ou emolumentos.  Pagamento de cópia digitalização e demais custos referentes à processos judiciais e extrajudiciais. </t>
  </si>
  <si>
    <t>Contratação de assessoria jurídica externa trabalhista e matérias específicas</t>
  </si>
  <si>
    <t>Promoção da arquitetura e do urbanismo através da divulgação da marca do CAU/RS</t>
  </si>
  <si>
    <t>Aquisição de materiais gráficos</t>
  </si>
  <si>
    <t>Assinatura de periódicos</t>
  </si>
  <si>
    <r>
      <t>Constituir comissão para licitação</t>
    </r>
    <r>
      <rPr>
        <sz val="12"/>
        <color rgb="FFFF0000"/>
        <rFont val="Calibri"/>
        <family val="2"/>
        <scheme val="minor"/>
      </rPr>
      <t xml:space="preserve"> </t>
    </r>
  </si>
  <si>
    <t>Ação comunicacional contra o EAD</t>
  </si>
  <si>
    <t>Projeto especial LGPD</t>
  </si>
  <si>
    <t>Projeto especial para analise e implementação das diretrizes para atendimento à Lei Geral de Proteção de Dados</t>
  </si>
  <si>
    <t>Aquisição de bens periféricos</t>
  </si>
  <si>
    <t>Implantação e manutenção das atividades do Museu ou Centro de Memória do CAU/RS</t>
  </si>
  <si>
    <t>Aquisição de mobiliário para armazenamento, manuseio e higienização do acervo museologico do CAU/RS (Imobilizado)</t>
  </si>
  <si>
    <t>Reuniões da Diretoria e Conselho do Museu ou Centro de Memória</t>
  </si>
  <si>
    <t>Contratação de serviços de guarda dos documentos que compõem o acervo do CAU/RS</t>
  </si>
  <si>
    <t xml:space="preserve">Participação em Formaturas </t>
  </si>
  <si>
    <t>Participação em eventos externos</t>
  </si>
  <si>
    <t>Projeto especial para atendimento aos procedimentos relacionados ao plano de gestão documental do CAU/RS.</t>
  </si>
  <si>
    <t>Projeto especial para atendimento aos procedimentos relacionados ao plano de gestão documental do CAU/RS</t>
  </si>
  <si>
    <t>Pacote Adobe</t>
  </si>
  <si>
    <t>Aquisição de câmera de filmagem e fotografia</t>
  </si>
  <si>
    <t>Publicação de licitações no DOU</t>
  </si>
  <si>
    <t>,</t>
  </si>
  <si>
    <t>Projeto Especial para Promoção da Arquitetura e Urbanismo</t>
  </si>
  <si>
    <t>Projeto Especial para realização do Congresso Gaúcho de Arquitetura</t>
  </si>
  <si>
    <t>Projeto especial Kit de boas vindas aos egressos</t>
  </si>
  <si>
    <t xml:space="preserve">Participação em Eventos </t>
  </si>
  <si>
    <t>Participação em Palestras</t>
  </si>
  <si>
    <t xml:space="preserve">Manutenção das despesas relativas ao CSC - Fiscalização </t>
  </si>
  <si>
    <t>Manutenção das despesas relativas ao CSC - Atendimento</t>
  </si>
  <si>
    <t>Atender ao Art. 60 da Lei nº 12.378/2010.</t>
  </si>
  <si>
    <t>Promover estudo para implantação das diretrizes da LGPD</t>
  </si>
  <si>
    <t>Alinhar a política do Conselho às diretrizes da LGPD</t>
  </si>
  <si>
    <r>
      <rPr>
        <u/>
        <sz val="12"/>
        <color theme="1"/>
        <rFont val="Calibri"/>
        <family val="2"/>
        <scheme val="minor"/>
      </rPr>
      <t xml:space="preserve">Detalhamento dos benefícios: </t>
    </r>
    <r>
      <rPr>
        <sz val="12"/>
        <color theme="1"/>
        <rFont val="Calibri"/>
        <family val="2"/>
        <scheme val="minor"/>
      </rPr>
      <t xml:space="preserve">
Vale refeição: 1.035.683,16
Vale transporte: 42.600,00
Plano de saúde: 391.000,80
Plano odontológico: 12.203,52
Auxílio creche: 45.814,08
Seguro de vida: 7.920
Auxílio home office: 63.360
Vale natalino: 91.026,90
</t>
    </r>
    <r>
      <rPr>
        <u/>
        <sz val="12"/>
        <color theme="1"/>
        <rFont val="Calibri"/>
        <family val="2"/>
        <scheme val="minor"/>
      </rPr>
      <t>Justificativa para flexibilização do limite da capacitação:</t>
    </r>
    <r>
      <rPr>
        <sz val="12"/>
        <color theme="1"/>
        <rFont val="Calibri"/>
        <family val="2"/>
        <scheme val="minor"/>
      </rPr>
      <t xml:space="preserve">
Em razão da pandemia da COVID-19, em 2021 as capacitações presenciais foram suspensas. Para 2022, espera-se uma retomada gradual da participação em cursos e eventos pelos funcionários do Conselho, de modo que a verba destinada à capacitação ainda se encontra abaixo do limite mínimo, devendo ser recuperada tão logo a situação sanitária do país seja reestabelecida.
</t>
    </r>
    <r>
      <rPr>
        <u/>
        <sz val="12"/>
        <color theme="1"/>
        <rFont val="Calibri"/>
        <family val="2"/>
        <scheme val="minor"/>
      </rPr>
      <t xml:space="preserve">
Justificativa para flexibilização do limite de pessoal:</t>
    </r>
    <r>
      <rPr>
        <sz val="12"/>
        <color theme="1"/>
        <rFont val="Calibri"/>
        <family val="2"/>
        <scheme val="minor"/>
      </rPr>
      <t xml:space="preserve">
Para 2022, previu-se no cálculo da despesa com pessoal o reajuste dos salários e benefícios no patamar de 8,4%. Além disso, está prevista a contração de 04 novos assistentes administrativos e 02 arquitetos e urbanistas concursados, de modo que a despesa com pessoal teve um aumento de 17,2%, ficando, contudo, acima do limite de 55% em relação à receita corrente. Salienta-se, entretanto, que, em relação à 2021, houve redução de 1,6 p.p. </t>
    </r>
  </si>
  <si>
    <t>MAPA ESTRATÉGICO CAU/RS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</si>
</sst>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_-* #,##0_-;\-* #,##0_-;_-* &quot;-&quot;??_-;_-@_-"/>
    <numFmt numFmtId="168" formatCode="_(* #,##0_);_(* \(#,##0\);_(* &quot;-&quot;??_);_(@_)"/>
    <numFmt numFmtId="169" formatCode="_(* #,##0.0_);_(* \(#,##0.0\);_(* &quot;-&quot;??_);_(@_)"/>
    <numFmt numFmtId="170" formatCode="&quot;R$&quot;#,##0.00"/>
    <numFmt numFmtId="171" formatCode="_-&quot;R$&quot;\ * #,##0_-;\-&quot;R$&quot;\ * #,##0_-;_-&quot;R$&quot;\ * &quot;-&quot;??_-;_-@_-"/>
    <numFmt numFmtId="172" formatCode="#,##0.0_ ;\-#,##0.0\ "/>
    <numFmt numFmtId="173" formatCode="_-* #,##0.00_-;\-* #,##0.00_-;_-* &quot;-&quot;_-;_-@_-"/>
    <numFmt numFmtId="174" formatCode="#,##0.0"/>
    <numFmt numFmtId="175" formatCode="_(* #,##0.00000_);_(* \(#,##0.00000\);_(* &quot;-&quot;??_);_(@_)"/>
    <numFmt numFmtId="176" formatCode="_(* #,##0.000000_);_(* \(#,##0.000000\);_(* &quot;-&quot;??_);_(@_)"/>
    <numFmt numFmtId="177" formatCode="_-&quot;R$&quot;* #,##0.00_-;\-&quot;R$&quot;* #,##0.00_-;_-&quot;R$&quot;* &quot;-&quot;??_-;_-@_-"/>
    <numFmt numFmtId="178" formatCode="_(* #,##0.00_);_(* \(#,##0.00\);_(* \-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0_);_(* \(#,##0.0000000000\);_(* &quot;-&quot;??_);_(@_)"/>
    <numFmt numFmtId="182" formatCode="_(* #,##0.000000000_);_(* \(#,##0.000000000\);_(* &quot;-&quot;??_);_(@_)"/>
    <numFmt numFmtId="183" formatCode="_(* #,##0.0000_);_(* \(#,##0.0000\);_(* &quot;-&quot;??_);_(@_)"/>
    <numFmt numFmtId="184" formatCode="_-* #,##0.000000_-;\-* #,##0.000000_-;_-* &quot;-&quot;_-;_-@_-"/>
    <numFmt numFmtId="196" formatCode="_(* #,##0.00000000000000000000_);_(* \(#,##0.00000000000000000000\);_(* &quot;-&quot;??_);_(@_)"/>
  </numFmts>
  <fonts count="79" x14ac:knownFonts="1">
    <font>
      <sz val="11"/>
      <color theme="1"/>
      <name val="Calibri"/>
      <family val="2"/>
      <scheme val="minor"/>
    </font>
    <font>
      <sz val="12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b/>
      <sz val="12"/>
      <color indexed="81"/>
      <name val="Tahoma"/>
      <family val="2"/>
    </font>
    <font>
      <b/>
      <sz val="13"/>
      <color indexed="81"/>
      <name val="Tahoma"/>
      <family val="2"/>
    </font>
    <font>
      <b/>
      <sz val="11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20"/>
      <name val="Calibri"/>
      <family val="2"/>
      <scheme val="minor"/>
    </font>
    <font>
      <sz val="11"/>
      <color indexed="81"/>
      <name val="Tahoma"/>
      <family val="2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4"/>
      <color indexed="81"/>
      <name val="Tahoma"/>
      <family val="2"/>
    </font>
    <font>
      <sz val="11"/>
      <color rgb="FF000000"/>
      <name val="Calibri"/>
      <family val="2"/>
    </font>
    <font>
      <b/>
      <sz val="14"/>
      <color indexed="81"/>
      <name val="Calibri Light"/>
      <family val="2"/>
      <scheme val="major"/>
    </font>
    <font>
      <sz val="8"/>
      <name val="Calibri"/>
      <family val="2"/>
      <scheme val="minor"/>
    </font>
    <font>
      <b/>
      <sz val="16"/>
      <color indexed="81"/>
      <name val="Tahoma"/>
      <family val="2"/>
    </font>
    <font>
      <sz val="20"/>
      <color theme="1"/>
      <name val="Arial Narrow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 Narrow"/>
      <family val="2"/>
    </font>
    <font>
      <sz val="12"/>
      <color theme="1"/>
      <name val="Arial"/>
      <family val="2"/>
    </font>
    <font>
      <b/>
      <sz val="12"/>
      <name val="Calibri"/>
      <family val="2"/>
    </font>
    <font>
      <sz val="12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  <font>
      <b/>
      <sz val="12"/>
      <color rgb="FF006871"/>
      <name val="Calibri"/>
      <family val="2"/>
      <scheme val="minor"/>
    </font>
    <font>
      <b/>
      <sz val="12"/>
      <color rgb="FF009999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indexed="57"/>
      <name val="Calibri"/>
      <family val="2"/>
      <scheme val="minor"/>
    </font>
    <font>
      <b/>
      <sz val="12"/>
      <color indexed="21"/>
      <name val="Calibri"/>
      <family val="2"/>
      <scheme val="minor"/>
    </font>
    <font>
      <sz val="12"/>
      <color indexed="81"/>
      <name val="Segoe UI"/>
      <family val="2"/>
    </font>
    <font>
      <sz val="12"/>
      <color rgb="FF0061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 Narrow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Arial"/>
      <family val="2"/>
    </font>
    <font>
      <b/>
      <i/>
      <sz val="12"/>
      <name val="Calibri"/>
      <family val="2"/>
      <scheme val="minor"/>
    </font>
    <font>
      <sz val="12"/>
      <color rgb="FFFF0000"/>
      <name val="Arial"/>
      <family val="2"/>
    </font>
    <font>
      <b/>
      <strike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20"/>
      <color theme="1"/>
      <name val="Arial"/>
      <family val="2"/>
    </font>
    <font>
      <b/>
      <sz val="20"/>
      <color theme="0"/>
      <name val="Arial Narrow"/>
      <family val="2"/>
    </font>
    <font>
      <b/>
      <sz val="20"/>
      <color theme="0" tint="-4.9989318521683403E-2"/>
      <name val="Calibri"/>
      <family val="2"/>
      <scheme val="minor"/>
    </font>
    <font>
      <sz val="11"/>
      <name val="Calibri"/>
      <family val="2"/>
      <charset val="1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9C6500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6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rgb="FFFFFADE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4BAC3"/>
        <bgColor indexed="64"/>
      </patternFill>
    </fill>
    <fill>
      <patternFill patternType="solid">
        <fgColor rgb="FF528693"/>
        <bgColor indexed="64"/>
      </patternFill>
    </fill>
    <fill>
      <patternFill patternType="solid">
        <fgColor rgb="FF2A5664"/>
        <bgColor indexed="64"/>
      </patternFill>
    </fill>
    <fill>
      <patternFill patternType="solid">
        <fgColor rgb="FF2A5664"/>
        <bgColor rgb="FF000000"/>
      </patternFill>
    </fill>
    <fill>
      <patternFill patternType="solid">
        <fgColor rgb="FFE4F0F0"/>
        <bgColor indexed="64"/>
      </patternFill>
    </fill>
    <fill>
      <patternFill patternType="solid">
        <fgColor rgb="FF2A5664"/>
        <bgColor rgb="FF47747D"/>
      </patternFill>
    </fill>
    <fill>
      <patternFill patternType="lightGray">
        <bgColor rgb="FF2A5664"/>
      </patternFill>
    </fill>
    <fill>
      <patternFill patternType="solid">
        <fgColor rgb="FF006666"/>
        <bgColor indexed="64"/>
      </patternFill>
    </fill>
    <fill>
      <patternFill patternType="darkGrid">
        <bgColor theme="0"/>
      </patternFill>
    </fill>
    <fill>
      <patternFill patternType="solid">
        <fgColor theme="9" tint="-0.249977111117893"/>
        <bgColor indexed="64"/>
      </patternFill>
    </fill>
    <fill>
      <patternFill patternType="darkTrellis"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B9C"/>
        <bgColor rgb="FFFFFADE"/>
      </patternFill>
    </fill>
    <fill>
      <patternFill patternType="solid">
        <fgColor theme="9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 tint="0.499984740745262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</borders>
  <cellStyleXfs count="45">
    <xf numFmtId="0" fontId="0" fillId="0" borderId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/>
    <xf numFmtId="0" fontId="2" fillId="0" borderId="0"/>
    <xf numFmtId="171" fontId="22" fillId="0" borderId="0" applyBorder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71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2" fillId="28" borderId="0" applyBorder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1" fillId="0" borderId="0"/>
    <xf numFmtId="43" fontId="71" fillId="0" borderId="0" applyFont="0" applyFill="0" applyBorder="0" applyAlignment="0" applyProtection="0"/>
    <xf numFmtId="0" fontId="73" fillId="0" borderId="0"/>
    <xf numFmtId="178" fontId="22" fillId="0" borderId="0" applyBorder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4" fillId="0" borderId="0" applyFill="0" applyProtection="0"/>
  </cellStyleXfs>
  <cellXfs count="625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2" borderId="0" xfId="0" applyFill="1"/>
    <xf numFmtId="0" fontId="0" fillId="0" borderId="0" xfId="0"/>
    <xf numFmtId="0" fontId="20" fillId="2" borderId="0" xfId="0" applyFont="1" applyFill="1" applyAlignment="1">
      <alignment vertical="center" wrapText="1"/>
    </xf>
    <xf numFmtId="0" fontId="5" fillId="0" borderId="0" xfId="0" applyFont="1"/>
    <xf numFmtId="0" fontId="31" fillId="2" borderId="0" xfId="0" applyFont="1" applyFill="1"/>
    <xf numFmtId="0" fontId="31" fillId="2" borderId="0" xfId="0" applyFont="1" applyFill="1" applyBorder="1" applyAlignment="1">
      <alignment vertical="center" wrapText="1"/>
    </xf>
    <xf numFmtId="0" fontId="31" fillId="2" borderId="0" xfId="0" applyFont="1" applyFill="1" applyBorder="1"/>
    <xf numFmtId="0" fontId="31" fillId="2" borderId="0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vertical="center" wrapText="1"/>
      <protection locked="0"/>
    </xf>
    <xf numFmtId="164" fontId="5" fillId="2" borderId="1" xfId="4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/>
    </xf>
    <xf numFmtId="41" fontId="33" fillId="15" borderId="1" xfId="0" applyNumberFormat="1" applyFont="1" applyFill="1" applyBorder="1" applyAlignment="1" applyProtection="1">
      <alignment horizontal="center" vertical="center" wrapText="1"/>
    </xf>
    <xf numFmtId="165" fontId="33" fillId="15" borderId="1" xfId="0" applyNumberFormat="1" applyFont="1" applyFill="1" applyBorder="1" applyAlignment="1" applyProtection="1">
      <alignment horizontal="center" vertical="center" wrapText="1"/>
    </xf>
    <xf numFmtId="164" fontId="5" fillId="2" borderId="1" xfId="4" applyFont="1" applyFill="1" applyBorder="1" applyAlignment="1" applyProtection="1">
      <alignment vertical="center"/>
      <protection locked="0"/>
    </xf>
    <xf numFmtId="164" fontId="4" fillId="2" borderId="1" xfId="4" applyFont="1" applyFill="1" applyBorder="1" applyAlignment="1" applyProtection="1">
      <alignment vertical="center"/>
      <protection locked="0"/>
    </xf>
    <xf numFmtId="164" fontId="4" fillId="2" borderId="1" xfId="4" applyFont="1" applyFill="1" applyBorder="1" applyAlignment="1" applyProtection="1">
      <alignment vertical="center" wrapText="1"/>
      <protection locked="0"/>
    </xf>
    <xf numFmtId="164" fontId="4" fillId="3" borderId="1" xfId="4" applyNumberFormat="1" applyFont="1" applyFill="1" applyBorder="1" applyAlignment="1" applyProtection="1">
      <alignment horizontal="left" vertical="center" wrapText="1"/>
    </xf>
    <xf numFmtId="169" fontId="4" fillId="3" borderId="1" xfId="4" applyNumberFormat="1" applyFont="1" applyFill="1" applyBorder="1" applyAlignment="1" applyProtection="1">
      <alignment horizontal="left" vertical="center" wrapText="1"/>
    </xf>
    <xf numFmtId="0" fontId="32" fillId="8" borderId="5" xfId="0" applyFont="1" applyFill="1" applyBorder="1" applyAlignment="1">
      <alignment horizontal="center"/>
    </xf>
    <xf numFmtId="0" fontId="32" fillId="0" borderId="1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/>
    </xf>
    <xf numFmtId="168" fontId="0" fillId="0" borderId="0" xfId="4" applyNumberFormat="1" applyFont="1"/>
    <xf numFmtId="169" fontId="0" fillId="0" borderId="0" xfId="4" applyNumberFormat="1" applyFont="1"/>
    <xf numFmtId="164" fontId="0" fillId="0" borderId="0" xfId="4" applyFont="1" applyFill="1" applyBorder="1"/>
    <xf numFmtId="164" fontId="0" fillId="0" borderId="0" xfId="4" applyFont="1"/>
    <xf numFmtId="164" fontId="20" fillId="0" borderId="0" xfId="4" applyFont="1"/>
    <xf numFmtId="164" fontId="0" fillId="0" borderId="0" xfId="4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3" applyNumberFormat="1" applyFont="1"/>
    <xf numFmtId="43" fontId="0" fillId="0" borderId="0" xfId="0" applyNumberFormat="1"/>
    <xf numFmtId="168" fontId="0" fillId="0" borderId="0" xfId="4" applyNumberFormat="1" applyFont="1" applyAlignment="1">
      <alignment horizontal="center"/>
    </xf>
    <xf numFmtId="169" fontId="0" fillId="0" borderId="0" xfId="4" applyNumberFormat="1" applyFont="1" applyAlignment="1">
      <alignment horizontal="center"/>
    </xf>
    <xf numFmtId="164" fontId="0" fillId="5" borderId="0" xfId="4" applyFont="1" applyFill="1"/>
    <xf numFmtId="0" fontId="29" fillId="20" borderId="37" xfId="0" applyFont="1" applyFill="1" applyBorder="1" applyAlignment="1">
      <alignment horizontal="center" vertical="center"/>
    </xf>
    <xf numFmtId="0" fontId="56" fillId="2" borderId="0" xfId="0" applyFont="1" applyFill="1"/>
    <xf numFmtId="164" fontId="5" fillId="0" borderId="0" xfId="4" applyFont="1" applyAlignment="1">
      <alignment horizontal="center"/>
    </xf>
    <xf numFmtId="168" fontId="5" fillId="2" borderId="1" xfId="4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164" fontId="4" fillId="2" borderId="1" xfId="4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9" fontId="5" fillId="2" borderId="1" xfId="4" applyNumberFormat="1" applyFont="1" applyFill="1" applyBorder="1" applyAlignment="1" applyProtection="1">
      <alignment horizontal="center" vertical="center" wrapText="1"/>
      <protection locked="0"/>
    </xf>
    <xf numFmtId="164" fontId="4" fillId="21" borderId="1" xfId="4" applyFont="1" applyFill="1" applyBorder="1" applyAlignment="1" applyProtection="1">
      <alignment horizontal="center" vertical="center"/>
      <protection locked="0"/>
    </xf>
    <xf numFmtId="164" fontId="5" fillId="2" borderId="1" xfId="4" applyFont="1" applyFill="1" applyBorder="1" applyAlignment="1" applyProtection="1">
      <alignment horizontal="center" vertical="center" wrapText="1"/>
      <protection locked="0"/>
    </xf>
    <xf numFmtId="0" fontId="30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4" fillId="3" borderId="1" xfId="4" applyFont="1" applyFill="1" applyBorder="1" applyAlignment="1" applyProtection="1">
      <alignment horizontal="center" vertical="center" wrapText="1"/>
      <protection locked="0"/>
    </xf>
    <xf numFmtId="164" fontId="5" fillId="3" borderId="1" xfId="4" applyFont="1" applyFill="1" applyBorder="1" applyAlignment="1" applyProtection="1">
      <alignment horizontal="center" vertical="center" wrapText="1"/>
      <protection locked="0"/>
    </xf>
    <xf numFmtId="164" fontId="4" fillId="3" borderId="1" xfId="4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4" fontId="4" fillId="3" borderId="4" xfId="4" applyFont="1" applyFill="1" applyBorder="1" applyAlignment="1">
      <alignment horizontal="center" vertical="center" wrapText="1"/>
    </xf>
    <xf numFmtId="168" fontId="29" fillId="20" borderId="39" xfId="4" applyNumberFormat="1" applyFont="1" applyFill="1" applyBorder="1" applyAlignment="1">
      <alignment horizontal="center" vertical="center" wrapText="1"/>
    </xf>
    <xf numFmtId="169" fontId="29" fillId="20" borderId="37" xfId="4" applyNumberFormat="1" applyFont="1" applyFill="1" applyBorder="1" applyAlignment="1">
      <alignment horizontal="center" vertical="center" wrapText="1"/>
    </xf>
    <xf numFmtId="168" fontId="29" fillId="20" borderId="37" xfId="4" applyNumberFormat="1" applyFont="1" applyFill="1" applyBorder="1" applyAlignment="1">
      <alignment horizontal="center" vertical="center" wrapText="1"/>
    </xf>
    <xf numFmtId="168" fontId="29" fillId="20" borderId="40" xfId="4" applyNumberFormat="1" applyFont="1" applyFill="1" applyBorder="1" applyAlignment="1">
      <alignment horizontal="center" vertical="center" wrapText="1"/>
    </xf>
    <xf numFmtId="49" fontId="0" fillId="0" borderId="0" xfId="4" applyNumberFormat="1" applyFont="1" applyFill="1" applyBorder="1" applyAlignment="1">
      <alignment horizontal="center" vertical="center" wrapText="1"/>
    </xf>
    <xf numFmtId="164" fontId="29" fillId="20" borderId="41" xfId="4" applyFont="1" applyFill="1" applyBorder="1" applyAlignment="1">
      <alignment horizontal="center" vertical="center" wrapText="1"/>
    </xf>
    <xf numFmtId="49" fontId="29" fillId="20" borderId="37" xfId="4" applyNumberFormat="1" applyFont="1" applyFill="1" applyBorder="1" applyAlignment="1">
      <alignment horizontal="center" vertical="center" wrapText="1"/>
    </xf>
    <xf numFmtId="49" fontId="0" fillId="0" borderId="0" xfId="4" applyNumberFormat="1" applyFont="1" applyAlignment="1">
      <alignment horizontal="center" vertical="center" wrapText="1"/>
    </xf>
    <xf numFmtId="49" fontId="20" fillId="0" borderId="0" xfId="4" applyNumberFormat="1" applyFont="1" applyAlignment="1">
      <alignment horizontal="center" vertical="center" wrapText="1"/>
    </xf>
    <xf numFmtId="49" fontId="0" fillId="0" borderId="0" xfId="0" applyNumberFormat="1"/>
    <xf numFmtId="164" fontId="33" fillId="22" borderId="43" xfId="4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168" fontId="29" fillId="20" borderId="39" xfId="4" applyNumberFormat="1" applyFont="1" applyFill="1" applyBorder="1" applyAlignment="1">
      <alignment horizontal="center" vertical="center"/>
    </xf>
    <xf numFmtId="49" fontId="0" fillId="0" borderId="0" xfId="4" applyNumberFormat="1" applyFont="1" applyFill="1" applyBorder="1"/>
    <xf numFmtId="49" fontId="0" fillId="0" borderId="0" xfId="4" applyNumberFormat="1" applyFont="1"/>
    <xf numFmtId="49" fontId="20" fillId="0" borderId="0" xfId="4" applyNumberFormat="1" applyFont="1"/>
    <xf numFmtId="164" fontId="56" fillId="0" borderId="0" xfId="4" applyFont="1"/>
    <xf numFmtId="164" fontId="20" fillId="0" borderId="0" xfId="4" applyFont="1" applyFill="1" applyBorder="1"/>
    <xf numFmtId="49" fontId="29" fillId="20" borderId="42" xfId="4" applyNumberFormat="1" applyFont="1" applyFill="1" applyBorder="1" applyAlignment="1">
      <alignment horizontal="center" vertical="center" wrapText="1"/>
    </xf>
    <xf numFmtId="0" fontId="57" fillId="0" borderId="0" xfId="13" applyFont="1"/>
    <xf numFmtId="166" fontId="21" fillId="0" borderId="0" xfId="3" applyNumberFormat="1" applyFont="1"/>
    <xf numFmtId="0" fontId="58" fillId="0" borderId="16" xfId="0" applyFont="1" applyBorder="1" applyAlignment="1">
      <alignment horizontal="left" vertical="center" wrapText="1"/>
    </xf>
    <xf numFmtId="0" fontId="31" fillId="0" borderId="1" xfId="13" applyFont="1" applyBorder="1" applyAlignment="1">
      <alignment vertical="center" wrapText="1" readingOrder="1"/>
    </xf>
    <xf numFmtId="41" fontId="4" fillId="2" borderId="1" xfId="13" applyNumberFormat="1" applyFont="1" applyFill="1" applyBorder="1" applyAlignment="1">
      <alignment horizontal="center" vertical="center" wrapText="1"/>
    </xf>
    <xf numFmtId="172" fontId="4" fillId="2" borderId="1" xfId="15" applyNumberFormat="1" applyFont="1" applyFill="1" applyBorder="1" applyAlignment="1">
      <alignment horizontal="right" vertical="center" wrapText="1"/>
    </xf>
    <xf numFmtId="0" fontId="36" fillId="0" borderId="0" xfId="13" applyFont="1" applyAlignment="1">
      <alignment horizontal="left"/>
    </xf>
    <xf numFmtId="0" fontId="36" fillId="0" borderId="0" xfId="13" applyFont="1"/>
    <xf numFmtId="165" fontId="59" fillId="0" borderId="0" xfId="13" applyNumberFormat="1" applyFont="1" applyAlignment="1">
      <alignment horizontal="center" vertical="center"/>
    </xf>
    <xf numFmtId="0" fontId="59" fillId="0" borderId="0" xfId="13" applyFont="1" applyAlignment="1">
      <alignment horizontal="center" vertical="center"/>
    </xf>
    <xf numFmtId="165" fontId="36" fillId="0" borderId="0" xfId="13" applyNumberFormat="1" applyFont="1"/>
    <xf numFmtId="41" fontId="36" fillId="0" borderId="0" xfId="13" applyNumberFormat="1" applyFont="1"/>
    <xf numFmtId="164" fontId="4" fillId="2" borderId="1" xfId="4" applyFont="1" applyFill="1" applyBorder="1" applyAlignment="1">
      <alignment horizontal="center" vertical="center" wrapText="1"/>
    </xf>
    <xf numFmtId="164" fontId="36" fillId="0" borderId="0" xfId="4" applyFont="1"/>
    <xf numFmtId="164" fontId="59" fillId="0" borderId="0" xfId="4" applyFont="1" applyAlignment="1">
      <alignment horizontal="center" vertical="center"/>
    </xf>
    <xf numFmtId="0" fontId="33" fillId="15" borderId="50" xfId="13" applyFont="1" applyFill="1" applyBorder="1" applyAlignment="1">
      <alignment horizontal="center" vertical="center" wrapText="1"/>
    </xf>
    <xf numFmtId="164" fontId="33" fillId="15" borderId="50" xfId="4" applyFont="1" applyFill="1" applyBorder="1" applyAlignment="1">
      <alignment horizontal="center" vertical="center" wrapText="1"/>
    </xf>
    <xf numFmtId="164" fontId="33" fillId="15" borderId="1" xfId="4" applyFont="1" applyFill="1" applyBorder="1" applyAlignment="1">
      <alignment horizontal="center"/>
    </xf>
    <xf numFmtId="41" fontId="33" fillId="15" borderId="1" xfId="13" applyNumberFormat="1" applyFont="1" applyFill="1" applyBorder="1" applyAlignment="1">
      <alignment horizontal="center"/>
    </xf>
    <xf numFmtId="164" fontId="31" fillId="0" borderId="0" xfId="4" applyFont="1"/>
    <xf numFmtId="0" fontId="3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5" fillId="0" borderId="0" xfId="13" applyFont="1" applyAlignment="1">
      <alignment horizontal="left" vertical="center"/>
    </xf>
    <xf numFmtId="0" fontId="38" fillId="15" borderId="0" xfId="13" applyFont="1" applyFill="1" applyAlignment="1">
      <alignment horizontal="center" vertical="center"/>
    </xf>
    <xf numFmtId="164" fontId="5" fillId="23" borderId="1" xfId="4" applyFont="1" applyFill="1" applyBorder="1" applyAlignment="1" applyProtection="1">
      <alignment horizontal="center" vertical="center" wrapText="1"/>
      <protection locked="0"/>
    </xf>
    <xf numFmtId="0" fontId="60" fillId="3" borderId="1" xfId="0" applyFont="1" applyFill="1" applyBorder="1" applyAlignment="1">
      <alignment horizontal="center" vertical="center" wrapText="1"/>
    </xf>
    <xf numFmtId="0" fontId="4" fillId="24" borderId="1" xfId="0" applyFont="1" applyFill="1" applyBorder="1" applyAlignment="1">
      <alignment horizontal="center" vertical="center" wrapText="1"/>
    </xf>
    <xf numFmtId="0" fontId="30" fillId="24" borderId="1" xfId="0" applyFont="1" applyFill="1" applyBorder="1" applyAlignment="1">
      <alignment horizontal="center" vertical="center" wrapText="1"/>
    </xf>
    <xf numFmtId="164" fontId="55" fillId="2" borderId="0" xfId="4" applyFont="1" applyFill="1" applyAlignment="1">
      <alignment vertical="center" wrapText="1"/>
    </xf>
    <xf numFmtId="0" fontId="21" fillId="0" borderId="0" xfId="0" applyFont="1" applyProtection="1">
      <protection locked="0"/>
    </xf>
    <xf numFmtId="0" fontId="21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33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wrapText="1"/>
      <protection locked="0"/>
    </xf>
    <xf numFmtId="0" fontId="33" fillId="15" borderId="15" xfId="0" applyFont="1" applyFill="1" applyBorder="1" applyAlignment="1" applyProtection="1">
      <alignment horizontal="left" vertical="center" wrapText="1"/>
      <protection locked="0"/>
    </xf>
    <xf numFmtId="0" fontId="33" fillId="15" borderId="4" xfId="0" applyFont="1" applyFill="1" applyBorder="1" applyAlignment="1" applyProtection="1">
      <alignment horizontal="center" vertical="center" wrapText="1"/>
      <protection locked="0"/>
    </xf>
    <xf numFmtId="0" fontId="33" fillId="15" borderId="18" xfId="0" applyFont="1" applyFill="1" applyBorder="1" applyAlignment="1" applyProtection="1">
      <alignment horizontal="center" vertical="center" wrapText="1"/>
      <protection locked="0"/>
    </xf>
    <xf numFmtId="0" fontId="33" fillId="15" borderId="27" xfId="0" applyFont="1" applyFill="1" applyBorder="1" applyAlignment="1" applyProtection="1">
      <alignment horizontal="center" vertical="center" wrapText="1"/>
      <protection locked="0"/>
    </xf>
    <xf numFmtId="0" fontId="31" fillId="0" borderId="29" xfId="0" applyFont="1" applyBorder="1" applyAlignment="1" applyProtection="1">
      <alignment horizontal="center" wrapText="1"/>
      <protection locked="0"/>
    </xf>
    <xf numFmtId="0" fontId="31" fillId="0" borderId="29" xfId="0" applyFont="1" applyBorder="1" applyAlignment="1" applyProtection="1">
      <alignment horizontal="center" vertical="top" wrapText="1"/>
      <protection locked="0"/>
    </xf>
    <xf numFmtId="0" fontId="33" fillId="2" borderId="5" xfId="0" applyFont="1" applyFill="1" applyBorder="1" applyAlignment="1" applyProtection="1">
      <alignment horizontal="left" vertical="center"/>
      <protection locked="0"/>
    </xf>
    <xf numFmtId="0" fontId="33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wrapText="1"/>
      <protection locked="0"/>
    </xf>
    <xf numFmtId="0" fontId="33" fillId="15" borderId="1" xfId="0" applyFont="1" applyFill="1" applyBorder="1" applyAlignment="1" applyProtection="1">
      <alignment horizontal="left" vertical="center" wrapText="1"/>
      <protection locked="0"/>
    </xf>
    <xf numFmtId="0" fontId="33" fillId="15" borderId="1" xfId="0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 applyProtection="1">
      <alignment horizontal="center" wrapText="1"/>
      <protection locked="0"/>
    </xf>
    <xf numFmtId="0" fontId="31" fillId="0" borderId="1" xfId="0" applyFont="1" applyBorder="1" applyAlignment="1" applyProtection="1">
      <alignment horizontal="center" vertical="top" wrapText="1"/>
      <protection locked="0"/>
    </xf>
    <xf numFmtId="0" fontId="31" fillId="2" borderId="1" xfId="0" applyFont="1" applyFill="1" applyBorder="1" applyAlignment="1" applyProtection="1">
      <alignment horizontal="center" wrapText="1"/>
      <protection locked="0"/>
    </xf>
    <xf numFmtId="0" fontId="31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31" fillId="2" borderId="1" xfId="0" applyFont="1" applyFill="1" applyBorder="1" applyAlignment="1" applyProtection="1">
      <alignment horizontal="center" vertical="center"/>
      <protection locked="0"/>
    </xf>
    <xf numFmtId="1" fontId="31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31" fillId="2" borderId="1" xfId="0" applyFont="1" applyFill="1" applyBorder="1" applyAlignment="1" applyProtection="1">
      <alignment horizontal="left" vertical="center" wrapText="1"/>
      <protection locked="0"/>
    </xf>
    <xf numFmtId="0" fontId="31" fillId="2" borderId="1" xfId="0" applyFont="1" applyFill="1" applyBorder="1" applyAlignment="1" applyProtection="1">
      <alignment horizontal="center" vertical="center" wrapText="1"/>
      <protection locked="0"/>
    </xf>
    <xf numFmtId="1" fontId="31" fillId="2" borderId="1" xfId="4" applyNumberFormat="1" applyFont="1" applyFill="1" applyBorder="1" applyAlignment="1" applyProtection="1">
      <alignment horizontal="center" vertical="center" wrapText="1"/>
      <protection locked="0"/>
    </xf>
    <xf numFmtId="0" fontId="31" fillId="9" borderId="1" xfId="5" applyFont="1" applyFill="1" applyBorder="1" applyAlignment="1" applyProtection="1">
      <alignment horizontal="center" wrapText="1"/>
      <protection locked="0"/>
    </xf>
    <xf numFmtId="0" fontId="31" fillId="9" borderId="1" xfId="5" applyFont="1" applyFill="1" applyBorder="1" applyAlignment="1" applyProtection="1">
      <alignment horizontal="center" vertical="top" wrapText="1"/>
      <protection locked="0"/>
    </xf>
    <xf numFmtId="0" fontId="31" fillId="2" borderId="1" xfId="5" applyFont="1" applyFill="1" applyBorder="1" applyAlignment="1" applyProtection="1">
      <alignment horizontal="center" wrapText="1"/>
      <protection locked="0"/>
    </xf>
    <xf numFmtId="0" fontId="31" fillId="2" borderId="1" xfId="5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33" fillId="15" borderId="34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2" borderId="0" xfId="0" applyFont="1" applyFill="1" applyProtection="1"/>
    <xf numFmtId="0" fontId="30" fillId="2" borderId="0" xfId="0" applyFont="1" applyFill="1" applyBorder="1" applyAlignment="1" applyProtection="1">
      <alignment horizontal="center" vertical="center" wrapText="1"/>
    </xf>
    <xf numFmtId="1" fontId="31" fillId="2" borderId="0" xfId="3" applyNumberFormat="1" applyFont="1" applyFill="1" applyBorder="1" applyAlignment="1" applyProtection="1">
      <alignment horizontal="center" vertical="center"/>
    </xf>
    <xf numFmtId="1" fontId="31" fillId="2" borderId="0" xfId="3" applyNumberFormat="1" applyFont="1" applyFill="1" applyBorder="1" applyAlignment="1" applyProtection="1">
      <alignment horizontal="center" vertical="center" wrapText="1"/>
    </xf>
    <xf numFmtId="1" fontId="31" fillId="2" borderId="0" xfId="4" applyNumberFormat="1" applyFont="1" applyFill="1" applyBorder="1" applyAlignment="1" applyProtection="1">
      <alignment horizontal="center" vertical="center" wrapText="1"/>
    </xf>
    <xf numFmtId="3" fontId="31" fillId="2" borderId="0" xfId="4" applyNumberFormat="1" applyFont="1" applyFill="1" applyBorder="1" applyAlignment="1" applyProtection="1">
      <alignment horizontal="center" vertical="center" wrapText="1"/>
    </xf>
    <xf numFmtId="168" fontId="0" fillId="0" borderId="0" xfId="4" applyNumberFormat="1" applyFont="1" applyFill="1" applyBorder="1"/>
    <xf numFmtId="0" fontId="5" fillId="2" borderId="0" xfId="0" applyFont="1" applyFill="1" applyAlignment="1" applyProtection="1">
      <alignment horizontal="center"/>
      <protection locked="0"/>
    </xf>
    <xf numFmtId="164" fontId="5" fillId="3" borderId="1" xfId="4" applyFont="1" applyFill="1" applyBorder="1" applyAlignment="1" applyProtection="1">
      <alignment vertical="center" wrapText="1"/>
    </xf>
    <xf numFmtId="164" fontId="33" fillId="15" borderId="9" xfId="4" applyNumberFormat="1" applyFont="1" applyFill="1" applyBorder="1" applyAlignment="1" applyProtection="1">
      <alignment vertical="center" wrapText="1"/>
    </xf>
    <xf numFmtId="169" fontId="33" fillId="15" borderId="9" xfId="4" applyNumberFormat="1" applyFont="1" applyFill="1" applyBorder="1" applyAlignment="1" applyProtection="1">
      <alignment vertical="center" wrapText="1"/>
    </xf>
    <xf numFmtId="164" fontId="4" fillId="3" borderId="1" xfId="4" applyFont="1" applyFill="1" applyBorder="1" applyAlignment="1" applyProtection="1">
      <alignment vertical="center" wrapText="1"/>
    </xf>
    <xf numFmtId="169" fontId="4" fillId="3" borderId="1" xfId="4" applyNumberFormat="1" applyFont="1" applyFill="1" applyBorder="1" applyAlignment="1" applyProtection="1">
      <alignment vertical="center" wrapText="1"/>
    </xf>
    <xf numFmtId="164" fontId="4" fillId="3" borderId="1" xfId="4" applyFont="1" applyFill="1" applyBorder="1" applyAlignment="1" applyProtection="1">
      <alignment vertical="center"/>
    </xf>
    <xf numFmtId="164" fontId="4" fillId="2" borderId="1" xfId="4" applyFont="1" applyFill="1" applyBorder="1" applyAlignment="1" applyProtection="1">
      <alignment vertical="center" wrapText="1"/>
    </xf>
    <xf numFmtId="164" fontId="4" fillId="5" borderId="1" xfId="4" applyFont="1" applyFill="1" applyBorder="1" applyAlignment="1" applyProtection="1">
      <alignment vertical="center" wrapText="1"/>
    </xf>
    <xf numFmtId="164" fontId="41" fillId="16" borderId="1" xfId="4" applyFont="1" applyFill="1" applyBorder="1" applyAlignment="1" applyProtection="1">
      <alignment vertical="center"/>
    </xf>
    <xf numFmtId="164" fontId="37" fillId="0" borderId="1" xfId="4" applyFont="1" applyFill="1" applyBorder="1" applyAlignment="1" applyProtection="1">
      <alignment horizontal="right" vertical="center" wrapText="1"/>
    </xf>
    <xf numFmtId="164" fontId="41" fillId="16" borderId="1" xfId="4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164" fontId="4" fillId="5" borderId="1" xfId="4" applyFont="1" applyFill="1" applyBorder="1" applyAlignment="1" applyProtection="1">
      <alignment vertical="center" wrapText="1"/>
      <protection locked="0"/>
    </xf>
    <xf numFmtId="0" fontId="41" fillId="18" borderId="1" xfId="0" applyFont="1" applyFill="1" applyBorder="1" applyAlignment="1" applyProtection="1">
      <alignment horizontal="center" vertical="center" wrapText="1"/>
      <protection locked="0"/>
    </xf>
    <xf numFmtId="164" fontId="37" fillId="0" borderId="1" xfId="4" applyFont="1" applyBorder="1" applyAlignment="1" applyProtection="1">
      <alignment horizontal="right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164" fontId="31" fillId="0" borderId="0" xfId="4" applyFont="1" applyAlignment="1" applyProtection="1">
      <alignment horizontal="center" vertical="center"/>
      <protection locked="0"/>
    </xf>
    <xf numFmtId="164" fontId="31" fillId="0" borderId="0" xfId="4" applyFont="1" applyAlignment="1" applyProtection="1">
      <alignment horizontal="center" vertical="center" wrapText="1"/>
      <protection locked="0"/>
    </xf>
    <xf numFmtId="164" fontId="30" fillId="2" borderId="0" xfId="4" applyNumberFormat="1" applyFont="1" applyFill="1" applyBorder="1" applyAlignment="1" applyProtection="1">
      <alignment horizontal="left" vertical="center" wrapText="1"/>
    </xf>
    <xf numFmtId="0" fontId="6" fillId="2" borderId="0" xfId="0" applyFont="1" applyFill="1" applyProtection="1">
      <protection locked="0"/>
    </xf>
    <xf numFmtId="41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1" xfId="4" applyNumberFormat="1" applyFont="1" applyFill="1" applyBorder="1" applyAlignment="1" applyProtection="1">
      <alignment horizontal="right" vertical="center" wrapText="1"/>
      <protection locked="0"/>
    </xf>
    <xf numFmtId="164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167" fontId="4" fillId="2" borderId="0" xfId="4" applyNumberFormat="1" applyFont="1" applyFill="1" applyBorder="1" applyAlignment="1" applyProtection="1">
      <alignment horizontal="right" vertical="center" wrapText="1"/>
      <protection locked="0"/>
    </xf>
    <xf numFmtId="167" fontId="4" fillId="2" borderId="0" xfId="4" applyNumberFormat="1" applyFont="1" applyFill="1" applyBorder="1" applyAlignment="1" applyProtection="1">
      <alignment vertical="center" wrapText="1"/>
      <protection locked="0"/>
    </xf>
    <xf numFmtId="164" fontId="4" fillId="2" borderId="0" xfId="4" applyFont="1" applyFill="1" applyBorder="1" applyAlignment="1" applyProtection="1">
      <alignment horizontal="left" vertical="center" wrapText="1"/>
      <protection locked="0"/>
    </xf>
    <xf numFmtId="41" fontId="4" fillId="2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vertical="center" wrapText="1" readingOrder="1"/>
      <protection locked="0"/>
    </xf>
    <xf numFmtId="0" fontId="4" fillId="2" borderId="0" xfId="0" applyFont="1" applyFill="1" applyBorder="1" applyAlignment="1" applyProtection="1">
      <alignment horizontal="center" vertical="center" textRotation="90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167" fontId="4" fillId="2" borderId="0" xfId="4" applyNumberFormat="1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 readingOrder="1"/>
      <protection locked="0"/>
    </xf>
    <xf numFmtId="0" fontId="6" fillId="2" borderId="0" xfId="0" applyFont="1" applyFill="1" applyBorder="1" applyProtection="1">
      <protection locked="0"/>
    </xf>
    <xf numFmtId="0" fontId="6" fillId="2" borderId="0" xfId="0" applyFont="1" applyFill="1" applyAlignment="1" applyProtection="1">
      <alignment wrapText="1"/>
      <protection locked="0"/>
    </xf>
    <xf numFmtId="0" fontId="5" fillId="2" borderId="0" xfId="0" applyFont="1" applyFill="1" applyAlignment="1" applyProtection="1">
      <protection locked="0"/>
    </xf>
    <xf numFmtId="0" fontId="30" fillId="8" borderId="0" xfId="0" applyFont="1" applyFill="1" applyAlignment="1" applyProtection="1">
      <alignment vertical="center"/>
      <protection locked="0"/>
    </xf>
    <xf numFmtId="0" fontId="31" fillId="2" borderId="0" xfId="0" applyFont="1" applyFill="1" applyAlignment="1" applyProtection="1">
      <alignment vertical="center"/>
      <protection locked="0"/>
    </xf>
    <xf numFmtId="0" fontId="31" fillId="2" borderId="0" xfId="1" applyFont="1" applyFill="1" applyAlignment="1" applyProtection="1">
      <alignment vertical="center"/>
      <protection locked="0"/>
    </xf>
    <xf numFmtId="0" fontId="18" fillId="2" borderId="0" xfId="2" applyFont="1" applyFill="1" applyAlignment="1" applyProtection="1">
      <alignment vertical="center"/>
      <protection locked="0"/>
    </xf>
    <xf numFmtId="0" fontId="18" fillId="2" borderId="0" xfId="0" applyFont="1" applyFill="1" applyAlignment="1" applyProtection="1">
      <alignment vertical="center"/>
      <protection locked="0"/>
    </xf>
    <xf numFmtId="0" fontId="52" fillId="0" borderId="0" xfId="1" applyFont="1" applyFill="1" applyProtection="1">
      <protection locked="0"/>
    </xf>
    <xf numFmtId="0" fontId="6" fillId="0" borderId="0" xfId="0" applyFont="1" applyFill="1" applyProtection="1">
      <protection locked="0"/>
    </xf>
    <xf numFmtId="0" fontId="5" fillId="0" borderId="0" xfId="0" applyFont="1" applyBorder="1" applyProtection="1">
      <protection locked="0"/>
    </xf>
    <xf numFmtId="164" fontId="53" fillId="2" borderId="0" xfId="0" applyNumberFormat="1" applyFont="1" applyFill="1" applyBorder="1" applyAlignment="1" applyProtection="1">
      <alignment horizontal="right" wrapText="1"/>
      <protection locked="0"/>
    </xf>
    <xf numFmtId="0" fontId="54" fillId="0" borderId="0" xfId="0" applyFont="1" applyAlignment="1" applyProtection="1">
      <alignment vertical="center"/>
      <protection locked="0"/>
    </xf>
    <xf numFmtId="0" fontId="52" fillId="0" borderId="0" xfId="1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35" fillId="15" borderId="1" xfId="0" applyFont="1" applyFill="1" applyBorder="1" applyAlignment="1" applyProtection="1">
      <alignment horizontal="center" vertical="center" wrapText="1"/>
      <protection locked="0"/>
    </xf>
    <xf numFmtId="37" fontId="5" fillId="0" borderId="0" xfId="0" applyNumberFormat="1" applyFont="1" applyAlignment="1" applyProtection="1">
      <alignment horizontal="center"/>
      <protection locked="0"/>
    </xf>
    <xf numFmtId="37" fontId="5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54" fillId="0" borderId="0" xfId="0" applyFont="1" applyProtection="1">
      <protection locked="0"/>
    </xf>
    <xf numFmtId="0" fontId="39" fillId="0" borderId="0" xfId="0" applyFont="1" applyBorder="1" applyAlignment="1" applyProtection="1">
      <protection locked="0"/>
    </xf>
    <xf numFmtId="0" fontId="28" fillId="0" borderId="0" xfId="0" applyFont="1" applyProtection="1">
      <protection locked="0"/>
    </xf>
    <xf numFmtId="0" fontId="53" fillId="3" borderId="1" xfId="0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164" fontId="53" fillId="3" borderId="1" xfId="4" applyNumberFormat="1" applyFont="1" applyFill="1" applyBorder="1" applyAlignment="1" applyProtection="1">
      <alignment horizontal="right" vertical="center" wrapText="1"/>
    </xf>
    <xf numFmtId="0" fontId="5" fillId="0" borderId="0" xfId="0" applyFont="1" applyProtection="1"/>
    <xf numFmtId="0" fontId="5" fillId="0" borderId="0" xfId="0" applyFont="1" applyAlignment="1" applyProtection="1">
      <alignment vertical="center"/>
    </xf>
    <xf numFmtId="41" fontId="4" fillId="2" borderId="0" xfId="0" applyNumberFormat="1" applyFont="1" applyFill="1" applyBorder="1" applyAlignment="1" applyProtection="1">
      <alignment horizontal="center" vertical="center" wrapText="1"/>
    </xf>
    <xf numFmtId="164" fontId="33" fillId="15" borderId="1" xfId="4" applyNumberFormat="1" applyFont="1" applyFill="1" applyBorder="1" applyAlignment="1" applyProtection="1">
      <alignment horizontal="left" vertical="center" wrapText="1"/>
    </xf>
    <xf numFmtId="169" fontId="33" fillId="15" borderId="1" xfId="4" applyNumberFormat="1" applyFont="1" applyFill="1" applyBorder="1" applyAlignment="1" applyProtection="1">
      <alignment horizontal="left" vertical="center" wrapText="1"/>
    </xf>
    <xf numFmtId="41" fontId="4" fillId="2" borderId="1" xfId="0" applyNumberFormat="1" applyFont="1" applyFill="1" applyBorder="1" applyAlignment="1" applyProtection="1">
      <alignment horizontal="center" vertical="center" wrapText="1"/>
    </xf>
    <xf numFmtId="41" fontId="4" fillId="17" borderId="1" xfId="0" applyNumberFormat="1" applyFont="1" applyFill="1" applyBorder="1" applyAlignment="1" applyProtection="1">
      <alignment horizontal="center" vertical="center" wrapText="1"/>
    </xf>
    <xf numFmtId="169" fontId="4" fillId="3" borderId="1" xfId="4" applyNumberFormat="1" applyFont="1" applyFill="1" applyBorder="1" applyAlignment="1" applyProtection="1">
      <alignment horizontal="right" vertical="center" wrapText="1"/>
    </xf>
    <xf numFmtId="166" fontId="4" fillId="3" borderId="1" xfId="4" applyNumberFormat="1" applyFont="1" applyFill="1" applyBorder="1" applyAlignment="1" applyProtection="1">
      <alignment horizontal="right" vertical="center" wrapText="1"/>
    </xf>
    <xf numFmtId="164" fontId="30" fillId="2" borderId="0" xfId="4" applyNumberFormat="1" applyFont="1" applyFill="1" applyBorder="1" applyAlignment="1" applyProtection="1">
      <alignment horizontal="right" vertical="center" wrapText="1"/>
    </xf>
    <xf numFmtId="164" fontId="30" fillId="2" borderId="0" xfId="0" applyNumberFormat="1" applyFont="1" applyFill="1" applyBorder="1" applyAlignment="1" applyProtection="1">
      <alignment horizontal="right" vertical="center" wrapText="1"/>
    </xf>
    <xf numFmtId="166" fontId="30" fillId="2" borderId="0" xfId="4" applyNumberFormat="1" applyFont="1" applyFill="1" applyBorder="1" applyAlignment="1" applyProtection="1">
      <alignment horizontal="right" vertical="center" wrapText="1"/>
    </xf>
    <xf numFmtId="164" fontId="4" fillId="3" borderId="1" xfId="4" applyNumberFormat="1" applyFont="1" applyFill="1" applyBorder="1" applyAlignment="1" applyProtection="1">
      <alignment horizontal="right" vertical="center" wrapText="1"/>
    </xf>
    <xf numFmtId="164" fontId="4" fillId="3" borderId="1" xfId="0" applyNumberFormat="1" applyFont="1" applyFill="1" applyBorder="1" applyAlignment="1" applyProtection="1">
      <alignment horizontal="right" vertical="center" wrapText="1"/>
    </xf>
    <xf numFmtId="166" fontId="4" fillId="3" borderId="1" xfId="3" applyNumberFormat="1" applyFont="1" applyFill="1" applyBorder="1" applyAlignment="1" applyProtection="1">
      <alignment horizontal="right" vertical="center" wrapText="1"/>
    </xf>
    <xf numFmtId="166" fontId="30" fillId="2" borderId="0" xfId="3" applyNumberFormat="1" applyFont="1" applyFill="1" applyBorder="1" applyAlignment="1" applyProtection="1">
      <alignment horizontal="right" vertical="center" wrapText="1"/>
    </xf>
    <xf numFmtId="41" fontId="30" fillId="19" borderId="1" xfId="0" applyNumberFormat="1" applyFont="1" applyFill="1" applyBorder="1" applyAlignment="1" applyProtection="1">
      <alignment vertical="center" wrapText="1"/>
    </xf>
    <xf numFmtId="164" fontId="30" fillId="19" borderId="1" xfId="4" applyFont="1" applyFill="1" applyBorder="1" applyAlignment="1" applyProtection="1">
      <alignment vertical="center" wrapText="1"/>
    </xf>
    <xf numFmtId="165" fontId="30" fillId="19" borderId="1" xfId="0" applyNumberFormat="1" applyFont="1" applyFill="1" applyBorder="1" applyAlignment="1" applyProtection="1">
      <alignment vertical="center" wrapText="1"/>
    </xf>
    <xf numFmtId="169" fontId="30" fillId="19" borderId="1" xfId="4" applyNumberFormat="1" applyFont="1" applyFill="1" applyBorder="1" applyAlignment="1" applyProtection="1">
      <alignment vertical="center" wrapText="1"/>
    </xf>
    <xf numFmtId="169" fontId="4" fillId="2" borderId="1" xfId="4" applyNumberFormat="1" applyFont="1" applyFill="1" applyBorder="1" applyAlignment="1" applyProtection="1">
      <alignment vertical="center" wrapText="1"/>
    </xf>
    <xf numFmtId="0" fontId="31" fillId="0" borderId="0" xfId="0" applyFont="1" applyAlignment="1" applyProtection="1">
      <alignment horizontal="center" vertical="center"/>
    </xf>
    <xf numFmtId="164" fontId="31" fillId="0" borderId="0" xfId="4" applyFont="1" applyAlignment="1" applyProtection="1">
      <alignment horizontal="center" vertical="center"/>
    </xf>
    <xf numFmtId="43" fontId="31" fillId="0" borderId="0" xfId="0" applyNumberFormat="1" applyFont="1" applyAlignment="1" applyProtection="1">
      <alignment horizontal="center" vertical="center"/>
    </xf>
    <xf numFmtId="0" fontId="41" fillId="16" borderId="1" xfId="0" applyFont="1" applyFill="1" applyBorder="1" applyAlignment="1" applyProtection="1">
      <alignment vertical="center" wrapText="1"/>
    </xf>
    <xf numFmtId="0" fontId="41" fillId="16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41" fillId="16" borderId="1" xfId="0" applyFont="1" applyFill="1" applyBorder="1" applyAlignment="1" applyProtection="1">
      <alignment vertical="center"/>
    </xf>
    <xf numFmtId="0" fontId="41" fillId="16" borderId="1" xfId="0" applyFont="1" applyFill="1" applyBorder="1" applyAlignment="1" applyProtection="1">
      <alignment horizontal="left" vertical="center" wrapText="1"/>
    </xf>
    <xf numFmtId="0" fontId="41" fillId="18" borderId="1" xfId="0" applyFont="1" applyFill="1" applyBorder="1" applyAlignment="1" applyProtection="1">
      <alignment horizontal="center" vertical="center" wrapText="1"/>
    </xf>
    <xf numFmtId="164" fontId="37" fillId="0" borderId="1" xfId="4" applyFont="1" applyBorder="1" applyAlignment="1" applyProtection="1">
      <alignment horizontal="right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0" fillId="2" borderId="0" xfId="0" applyFont="1" applyFill="1" applyBorder="1" applyAlignment="1" applyProtection="1">
      <alignment horizontal="left" wrapText="1"/>
      <protection locked="0"/>
    </xf>
    <xf numFmtId="0" fontId="33" fillId="15" borderId="1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30" fillId="2" borderId="0" xfId="0" applyFont="1" applyFill="1" applyAlignment="1" applyProtection="1">
      <alignment vertical="center" wrapText="1"/>
      <protection locked="0"/>
    </xf>
    <xf numFmtId="166" fontId="37" fillId="0" borderId="1" xfId="3" applyNumberFormat="1" applyFont="1" applyBorder="1" applyAlignment="1" applyProtection="1">
      <alignment horizontal="right" vertical="center" wrapText="1"/>
    </xf>
    <xf numFmtId="164" fontId="4" fillId="4" borderId="1" xfId="4" applyNumberFormat="1" applyFont="1" applyFill="1" applyBorder="1" applyAlignment="1" applyProtection="1">
      <alignment horizontal="right" vertical="center" wrapText="1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0" fontId="5" fillId="2" borderId="0" xfId="0" applyFont="1" applyFill="1" applyAlignment="1" applyProtection="1">
      <alignment vertical="center" wrapText="1"/>
      <protection locked="0"/>
    </xf>
    <xf numFmtId="0" fontId="62" fillId="8" borderId="0" xfId="0" applyFont="1" applyFill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73" fontId="5" fillId="2" borderId="1" xfId="0" applyNumberFormat="1" applyFont="1" applyFill="1" applyBorder="1" applyAlignment="1" applyProtection="1">
      <alignment vertical="center" wrapText="1"/>
      <protection locked="0"/>
    </xf>
    <xf numFmtId="0" fontId="63" fillId="2" borderId="10" xfId="0" applyFont="1" applyFill="1" applyBorder="1" applyAlignment="1" applyProtection="1">
      <alignment horizontal="left" vertical="center" wrapText="1"/>
      <protection locked="0"/>
    </xf>
    <xf numFmtId="0" fontId="63" fillId="2" borderId="1" xfId="0" applyFont="1" applyFill="1" applyBorder="1" applyAlignment="1" applyProtection="1">
      <alignment horizontal="center" vertical="center" wrapText="1"/>
      <protection locked="0"/>
    </xf>
    <xf numFmtId="0" fontId="63" fillId="2" borderId="1" xfId="0" applyFont="1" applyFill="1" applyBorder="1" applyAlignment="1" applyProtection="1">
      <alignment vertical="center" wrapText="1"/>
      <protection locked="0"/>
    </xf>
    <xf numFmtId="0" fontId="63" fillId="2" borderId="1" xfId="0" applyFont="1" applyFill="1" applyBorder="1" applyAlignment="1" applyProtection="1">
      <alignment horizontal="left" vertical="center" wrapText="1"/>
      <protection locked="0"/>
    </xf>
    <xf numFmtId="0" fontId="63" fillId="2" borderId="34" xfId="0" applyFont="1" applyFill="1" applyBorder="1" applyAlignment="1" applyProtection="1">
      <alignment horizontal="left" vertical="center" wrapText="1"/>
      <protection locked="0"/>
    </xf>
    <xf numFmtId="0" fontId="63" fillId="2" borderId="50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5" fillId="0" borderId="0" xfId="0" applyFont="1"/>
    <xf numFmtId="0" fontId="6" fillId="0" borderId="0" xfId="0" applyFont="1" applyAlignment="1">
      <alignment vertical="center" wrapText="1"/>
    </xf>
    <xf numFmtId="0" fontId="6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65" fillId="2" borderId="0" xfId="0" applyFont="1" applyFill="1"/>
    <xf numFmtId="0" fontId="6" fillId="2" borderId="0" xfId="0" applyFont="1" applyFill="1" applyAlignment="1">
      <alignment vertical="center" wrapText="1"/>
    </xf>
    <xf numFmtId="0" fontId="64" fillId="15" borderId="1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 wrapText="1"/>
    </xf>
    <xf numFmtId="169" fontId="5" fillId="3" borderId="1" xfId="4" applyNumberFormat="1" applyFont="1" applyFill="1" applyBorder="1" applyAlignment="1">
      <alignment vertical="center" wrapText="1"/>
    </xf>
    <xf numFmtId="169" fontId="5" fillId="3" borderId="1" xfId="4" applyNumberFormat="1" applyFont="1" applyFill="1" applyBorder="1" applyAlignment="1" applyProtection="1">
      <alignment vertical="center" wrapText="1"/>
      <protection locked="0"/>
    </xf>
    <xf numFmtId="0" fontId="66" fillId="2" borderId="0" xfId="0" applyFont="1" applyFill="1" applyAlignment="1">
      <alignment horizontal="center" vertical="center" wrapText="1"/>
    </xf>
    <xf numFmtId="164" fontId="33" fillId="15" borderId="1" xfId="4" applyFont="1" applyFill="1" applyBorder="1" applyAlignment="1">
      <alignment horizontal="right" vertical="center" wrapText="1"/>
    </xf>
    <xf numFmtId="169" fontId="38" fillId="15" borderId="1" xfId="4" applyNumberFormat="1" applyFont="1" applyFill="1" applyBorder="1" applyAlignment="1">
      <alignment vertical="center" wrapText="1"/>
    </xf>
    <xf numFmtId="169" fontId="33" fillId="15" borderId="1" xfId="4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166" fontId="6" fillId="0" borderId="0" xfId="3" applyNumberFormat="1" applyFont="1" applyAlignment="1">
      <alignment wrapText="1"/>
    </xf>
    <xf numFmtId="0" fontId="5" fillId="2" borderId="13" xfId="0" applyFont="1" applyFill="1" applyBorder="1" applyAlignment="1" applyProtection="1">
      <alignment horizontal="left" wrapText="1"/>
      <protection locked="0"/>
    </xf>
    <xf numFmtId="0" fontId="64" fillId="2" borderId="0" xfId="0" applyFont="1" applyFill="1" applyAlignment="1">
      <alignment horizontal="center" vertical="center" wrapText="1"/>
    </xf>
    <xf numFmtId="0" fontId="67" fillId="2" borderId="0" xfId="0" applyFont="1" applyFill="1" applyAlignment="1">
      <alignment horizontal="center" vertical="center" wrapText="1"/>
    </xf>
    <xf numFmtId="174" fontId="5" fillId="0" borderId="0" xfId="0" applyNumberFormat="1" applyFont="1" applyAlignment="1">
      <alignment wrapText="1"/>
    </xf>
    <xf numFmtId="0" fontId="5" fillId="2" borderId="11" xfId="0" applyFont="1" applyFill="1" applyBorder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0" fontId="5" fillId="2" borderId="3" xfId="0" applyFont="1" applyFill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 vertical="center" wrapText="1"/>
    </xf>
    <xf numFmtId="43" fontId="63" fillId="2" borderId="1" xfId="0" applyNumberFormat="1" applyFont="1" applyFill="1" applyBorder="1" applyAlignment="1" applyProtection="1">
      <alignment vertical="center" wrapText="1"/>
      <protection locked="0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5" borderId="11" xfId="0" applyFont="1" applyFill="1" applyBorder="1" applyAlignment="1" applyProtection="1">
      <alignment horizontal="left" wrapText="1"/>
      <protection locked="0"/>
    </xf>
    <xf numFmtId="0" fontId="5" fillId="5" borderId="8" xfId="0" applyFont="1" applyFill="1" applyBorder="1" applyAlignment="1" applyProtection="1">
      <alignment horizontal="left" wrapText="1"/>
      <protection locked="0"/>
    </xf>
    <xf numFmtId="0" fontId="5" fillId="5" borderId="3" xfId="0" applyFont="1" applyFill="1" applyBorder="1" applyAlignment="1" applyProtection="1">
      <alignment horizontal="left" wrapText="1"/>
      <protection locked="0"/>
    </xf>
    <xf numFmtId="0" fontId="64" fillId="15" borderId="1" xfId="0" applyFont="1" applyFill="1" applyBorder="1" applyAlignment="1">
      <alignment horizontal="center" vertical="center" wrapText="1"/>
    </xf>
    <xf numFmtId="0" fontId="30" fillId="26" borderId="4" xfId="0" applyFont="1" applyFill="1" applyBorder="1" applyAlignment="1">
      <alignment horizontal="center" vertical="center" wrapText="1"/>
    </xf>
    <xf numFmtId="0" fontId="64" fillId="2" borderId="8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wrapText="1"/>
    </xf>
    <xf numFmtId="0" fontId="5" fillId="2" borderId="50" xfId="0" applyFont="1" applyFill="1" applyBorder="1" applyAlignment="1">
      <alignment horizontal="left" vertical="center" wrapText="1"/>
    </xf>
    <xf numFmtId="0" fontId="5" fillId="2" borderId="50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5" borderId="13" xfId="0" applyFont="1" applyFill="1" applyBorder="1" applyAlignment="1" applyProtection="1">
      <alignment horizontal="left" wrapText="1"/>
      <protection locked="0"/>
    </xf>
    <xf numFmtId="0" fontId="24" fillId="0" borderId="1" xfId="0" applyFont="1" applyFill="1" applyBorder="1" applyAlignment="1">
      <alignment vertical="center" wrapText="1"/>
    </xf>
    <xf numFmtId="0" fontId="68" fillId="9" borderId="1" xfId="0" applyFont="1" applyFill="1" applyBorder="1" applyAlignment="1" applyProtection="1">
      <alignment vertical="center" wrapText="1"/>
      <protection locked="0"/>
    </xf>
    <xf numFmtId="0" fontId="68" fillId="9" borderId="1" xfId="0" applyFont="1" applyFill="1" applyBorder="1" applyAlignment="1" applyProtection="1">
      <alignment horizontal="left" vertical="center" wrapText="1"/>
      <protection locked="0"/>
    </xf>
    <xf numFmtId="0" fontId="68" fillId="2" borderId="1" xfId="0" applyFont="1" applyFill="1" applyBorder="1" applyAlignment="1" applyProtection="1">
      <alignment vertical="center" wrapText="1"/>
      <protection locked="0"/>
    </xf>
    <xf numFmtId="0" fontId="68" fillId="0" borderId="1" xfId="0" applyFont="1" applyFill="1" applyBorder="1" applyAlignment="1" applyProtection="1">
      <alignment vertical="center" wrapText="1"/>
      <protection locked="0"/>
    </xf>
    <xf numFmtId="0" fontId="68" fillId="2" borderId="50" xfId="0" applyFont="1" applyFill="1" applyBorder="1" applyAlignment="1" applyProtection="1">
      <alignment vertical="center" wrapText="1"/>
      <protection locked="0"/>
    </xf>
    <xf numFmtId="164" fontId="31" fillId="0" borderId="1" xfId="4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wrapText="1"/>
    </xf>
    <xf numFmtId="0" fontId="31" fillId="2" borderId="1" xfId="0" applyFont="1" applyFill="1" applyBorder="1" applyAlignment="1" applyProtection="1">
      <alignment vertical="center" wrapText="1"/>
      <protection locked="0"/>
    </xf>
    <xf numFmtId="0" fontId="31" fillId="0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164" fontId="5" fillId="2" borderId="1" xfId="4" applyNumberFormat="1" applyFont="1" applyFill="1" applyBorder="1" applyAlignment="1" applyProtection="1">
      <alignment vertical="center" wrapText="1"/>
      <protection locked="0"/>
    </xf>
    <xf numFmtId="0" fontId="5" fillId="2" borderId="50" xfId="0" applyFont="1" applyFill="1" applyBorder="1" applyAlignment="1" applyProtection="1">
      <alignment vertical="center" wrapText="1"/>
      <protection locked="0"/>
    </xf>
    <xf numFmtId="0" fontId="5" fillId="2" borderId="8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wrapText="1"/>
    </xf>
    <xf numFmtId="164" fontId="5" fillId="2" borderId="50" xfId="4" applyFont="1" applyFill="1" applyBorder="1" applyAlignment="1" applyProtection="1">
      <alignment vertical="center" wrapText="1"/>
      <protection locked="0"/>
    </xf>
    <xf numFmtId="164" fontId="63" fillId="0" borderId="0" xfId="0" applyNumberFormat="1" applyFont="1" applyAlignment="1" applyProtection="1">
      <alignment wrapText="1"/>
      <protection locked="0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5" fillId="0" borderId="0" xfId="0" applyFont="1"/>
    <xf numFmtId="0" fontId="6" fillId="2" borderId="0" xfId="0" applyFont="1" applyFill="1" applyAlignment="1">
      <alignment vertical="center" wrapText="1"/>
    </xf>
    <xf numFmtId="10" fontId="63" fillId="0" borderId="0" xfId="3" applyNumberFormat="1" applyFont="1" applyAlignment="1" applyProtection="1">
      <alignment wrapText="1"/>
      <protection locked="0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5" fillId="0" borderId="0" xfId="0" applyFont="1"/>
    <xf numFmtId="176" fontId="5" fillId="2" borderId="1" xfId="4" applyNumberFormat="1" applyFont="1" applyFill="1" applyBorder="1" applyAlignment="1" applyProtection="1">
      <alignment vertical="center" wrapText="1"/>
      <protection locked="0"/>
    </xf>
    <xf numFmtId="0" fontId="5" fillId="2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5" fillId="0" borderId="0" xfId="0" applyFont="1"/>
    <xf numFmtId="0" fontId="67" fillId="2" borderId="0" xfId="0" applyFont="1" applyFill="1" applyAlignment="1">
      <alignment horizontal="center" vertical="center" wrapText="1"/>
    </xf>
    <xf numFmtId="0" fontId="65" fillId="2" borderId="0" xfId="0" applyFont="1" applyFill="1"/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wrapText="1"/>
    </xf>
    <xf numFmtId="0" fontId="9" fillId="0" borderId="0" xfId="0" applyFont="1" applyAlignment="1">
      <alignment vertical="center" wrapText="1"/>
    </xf>
    <xf numFmtId="166" fontId="6" fillId="0" borderId="0" xfId="3" applyNumberFormat="1" applyFont="1" applyAlignment="1">
      <alignment wrapText="1"/>
    </xf>
    <xf numFmtId="0" fontId="6" fillId="0" borderId="0" xfId="0" applyFont="1" applyAlignment="1">
      <alignment wrapText="1"/>
    </xf>
    <xf numFmtId="0" fontId="63" fillId="2" borderId="1" xfId="0" applyFont="1" applyFill="1" applyBorder="1" applyAlignment="1" applyProtection="1">
      <alignment horizontal="center" vertical="center" wrapText="1"/>
      <protection locked="0"/>
    </xf>
    <xf numFmtId="0" fontId="63" fillId="2" borderId="1" xfId="0" applyFont="1" applyFill="1" applyBorder="1" applyAlignment="1" applyProtection="1">
      <alignment vertical="center" wrapText="1"/>
      <protection locked="0"/>
    </xf>
    <xf numFmtId="0" fontId="63" fillId="2" borderId="10" xfId="0" applyFont="1" applyFill="1" applyBorder="1" applyAlignment="1" applyProtection="1">
      <alignment horizontal="left" vertical="center" wrapText="1"/>
      <protection locked="0"/>
    </xf>
    <xf numFmtId="180" fontId="5" fillId="2" borderId="1" xfId="4" applyNumberFormat="1" applyFont="1" applyFill="1" applyBorder="1" applyAlignment="1" applyProtection="1">
      <alignment vertical="center" wrapText="1"/>
      <protection locked="0"/>
    </xf>
    <xf numFmtId="0" fontId="5" fillId="27" borderId="1" xfId="0" applyFont="1" applyFill="1" applyBorder="1" applyAlignment="1" applyProtection="1">
      <alignment vertical="center" wrapText="1"/>
      <protection locked="0"/>
    </xf>
    <xf numFmtId="164" fontId="5" fillId="27" borderId="1" xfId="4" applyFont="1" applyFill="1" applyBorder="1" applyAlignment="1" applyProtection="1">
      <alignment vertical="center" wrapText="1"/>
      <protection locked="0"/>
    </xf>
    <xf numFmtId="169" fontId="5" fillId="27" borderId="1" xfId="4" applyNumberFormat="1" applyFont="1" applyFill="1" applyBorder="1" applyAlignment="1">
      <alignment vertical="center" wrapText="1"/>
    </xf>
    <xf numFmtId="169" fontId="5" fillId="27" borderId="1" xfId="4" applyNumberFormat="1" applyFont="1" applyFill="1" applyBorder="1" applyAlignment="1" applyProtection="1">
      <alignment vertical="center" wrapText="1"/>
      <protection locked="0"/>
    </xf>
    <xf numFmtId="0" fontId="5" fillId="27" borderId="0" xfId="0" applyFont="1" applyFill="1" applyAlignment="1">
      <alignment wrapText="1"/>
    </xf>
    <xf numFmtId="0" fontId="6" fillId="27" borderId="0" xfId="0" applyFont="1" applyFill="1" applyAlignment="1">
      <alignment wrapText="1"/>
    </xf>
    <xf numFmtId="0" fontId="65" fillId="27" borderId="0" xfId="0" applyFont="1" applyFill="1"/>
    <xf numFmtId="0" fontId="6" fillId="27" borderId="0" xfId="0" applyFont="1" applyFill="1" applyAlignment="1">
      <alignment vertical="center" wrapText="1"/>
    </xf>
    <xf numFmtId="0" fontId="5" fillId="27" borderId="1" xfId="0" applyFont="1" applyFill="1" applyBorder="1" applyAlignment="1">
      <alignment wrapText="1"/>
    </xf>
    <xf numFmtId="0" fontId="31" fillId="0" borderId="8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 applyProtection="1">
      <alignment vertical="center" wrapText="1"/>
      <protection locked="0"/>
    </xf>
    <xf numFmtId="175" fontId="53" fillId="3" borderId="1" xfId="4" applyNumberFormat="1" applyFont="1" applyFill="1" applyBorder="1" applyAlignment="1" applyProtection="1">
      <alignment horizontal="right" vertical="center" wrapText="1"/>
    </xf>
    <xf numFmtId="175" fontId="53" fillId="2" borderId="0" xfId="0" applyNumberFormat="1" applyFont="1" applyFill="1" applyBorder="1" applyAlignment="1" applyProtection="1">
      <alignment horizontal="right" wrapText="1"/>
      <protection locked="0"/>
    </xf>
    <xf numFmtId="164" fontId="63" fillId="3" borderId="1" xfId="4" applyFont="1" applyFill="1" applyBorder="1" applyAlignment="1" applyProtection="1">
      <alignment vertical="center" wrapText="1"/>
    </xf>
    <xf numFmtId="169" fontId="63" fillId="3" borderId="1" xfId="4" applyNumberFormat="1" applyFont="1" applyFill="1" applyBorder="1" applyAlignment="1" applyProtection="1">
      <alignment vertical="center" wrapText="1"/>
    </xf>
    <xf numFmtId="164" fontId="70" fillId="0" borderId="0" xfId="0" applyNumberFormat="1" applyFont="1" applyBorder="1" applyAlignment="1" applyProtection="1"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64" fillId="15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64" fillId="15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175" fontId="5" fillId="2" borderId="1" xfId="4" applyNumberFormat="1" applyFont="1" applyFill="1" applyBorder="1" applyAlignment="1" applyProtection="1">
      <alignment vertical="center" wrapText="1"/>
      <protection locked="0"/>
    </xf>
    <xf numFmtId="0" fontId="4" fillId="2" borderId="11" xfId="0" applyFont="1" applyFill="1" applyBorder="1" applyAlignment="1" applyProtection="1">
      <alignment vertical="center" wrapText="1"/>
      <protection locked="0"/>
    </xf>
    <xf numFmtId="183" fontId="53" fillId="3" borderId="1" xfId="4" applyNumberFormat="1" applyFont="1" applyFill="1" applyBorder="1" applyAlignment="1" applyProtection="1">
      <alignment horizontal="right" vertical="center" wrapText="1"/>
    </xf>
    <xf numFmtId="176" fontId="53" fillId="3" borderId="1" xfId="4" applyNumberFormat="1" applyFont="1" applyFill="1" applyBorder="1" applyAlignment="1" applyProtection="1">
      <alignment horizontal="right" vertical="center" wrapText="1"/>
    </xf>
    <xf numFmtId="176" fontId="53" fillId="2" borderId="0" xfId="0" applyNumberFormat="1" applyFont="1" applyFill="1" applyBorder="1" applyAlignment="1" applyProtection="1">
      <alignment horizontal="right" wrapText="1"/>
      <protection locked="0"/>
    </xf>
    <xf numFmtId="179" fontId="53" fillId="3" borderId="1" xfId="4" applyNumberFormat="1" applyFont="1" applyFill="1" applyBorder="1" applyAlignment="1" applyProtection="1">
      <alignment horizontal="right" vertical="center" wrapText="1"/>
    </xf>
    <xf numFmtId="179" fontId="53" fillId="2" borderId="0" xfId="0" applyNumberFormat="1" applyFont="1" applyFill="1" applyBorder="1" applyAlignment="1" applyProtection="1">
      <alignment horizontal="right" wrapText="1"/>
      <protection locked="0"/>
    </xf>
    <xf numFmtId="184" fontId="53" fillId="3" borderId="1" xfId="4" applyNumberFormat="1" applyFont="1" applyFill="1" applyBorder="1" applyAlignment="1" applyProtection="1">
      <alignment horizontal="right" vertical="center" wrapText="1"/>
    </xf>
    <xf numFmtId="184" fontId="53" fillId="2" borderId="0" xfId="0" applyNumberFormat="1" applyFont="1" applyFill="1" applyBorder="1" applyAlignment="1" applyProtection="1">
      <alignment horizontal="right" wrapText="1"/>
      <protection locked="0"/>
    </xf>
    <xf numFmtId="43" fontId="0" fillId="0" borderId="1" xfId="0" applyNumberFormat="1" applyBorder="1"/>
    <xf numFmtId="164" fontId="5" fillId="0" borderId="0" xfId="0" applyNumberFormat="1" applyFont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vertical="center" wrapText="1"/>
      <protection locked="0"/>
    </xf>
    <xf numFmtId="182" fontId="53" fillId="3" borderId="1" xfId="4" applyNumberFormat="1" applyFont="1" applyFill="1" applyBorder="1" applyAlignment="1" applyProtection="1">
      <alignment horizontal="right" vertical="center" wrapText="1"/>
    </xf>
    <xf numFmtId="181" fontId="53" fillId="2" borderId="0" xfId="0" applyNumberFormat="1" applyFont="1" applyFill="1" applyBorder="1" applyAlignment="1" applyProtection="1">
      <alignment horizontal="right" wrapText="1"/>
      <protection locked="0"/>
    </xf>
    <xf numFmtId="176" fontId="5" fillId="27" borderId="1" xfId="4" applyNumberFormat="1" applyFont="1" applyFill="1" applyBorder="1" applyAlignment="1" applyProtection="1">
      <alignment vertical="center" wrapText="1"/>
      <protection locked="0"/>
    </xf>
    <xf numFmtId="168" fontId="53" fillId="4" borderId="1" xfId="4" applyNumberFormat="1" applyFont="1" applyFill="1" applyBorder="1" applyAlignment="1" applyProtection="1">
      <alignment horizontal="right" vertical="center" wrapText="1"/>
    </xf>
    <xf numFmtId="168" fontId="53" fillId="0" borderId="1" xfId="4" applyNumberFormat="1" applyFont="1" applyFill="1" applyBorder="1" applyAlignment="1" applyProtection="1">
      <alignment horizontal="right" vertical="center" wrapText="1"/>
      <protection locked="0"/>
    </xf>
    <xf numFmtId="168" fontId="53" fillId="2" borderId="1" xfId="4" applyNumberFormat="1" applyFont="1" applyFill="1" applyBorder="1" applyAlignment="1" applyProtection="1">
      <alignment horizontal="right" vertical="center" wrapText="1"/>
      <protection locked="0"/>
    </xf>
    <xf numFmtId="168" fontId="33" fillId="15" borderId="1" xfId="4" applyNumberFormat="1" applyFont="1" applyFill="1" applyBorder="1" applyAlignment="1" applyProtection="1">
      <alignment horizontal="right" vertical="center" wrapText="1"/>
    </xf>
    <xf numFmtId="168" fontId="38" fillId="15" borderId="1" xfId="4" applyNumberFormat="1" applyFont="1" applyFill="1" applyBorder="1" applyAlignment="1" applyProtection="1">
      <alignment horizontal="right" vertical="center" wrapText="1"/>
    </xf>
    <xf numFmtId="43" fontId="63" fillId="2" borderId="1" xfId="4" applyNumberFormat="1" applyFont="1" applyFill="1" applyBorder="1" applyAlignment="1" applyProtection="1">
      <alignment vertical="center" wrapText="1"/>
      <protection locked="0"/>
    </xf>
    <xf numFmtId="43" fontId="33" fillId="15" borderId="9" xfId="4" applyNumberFormat="1" applyFont="1" applyFill="1" applyBorder="1" applyAlignment="1" applyProtection="1">
      <alignment vertical="center" wrapText="1"/>
    </xf>
    <xf numFmtId="164" fontId="4" fillId="2" borderId="1" xfId="4" applyNumberFormat="1" applyFont="1" applyFill="1" applyBorder="1" applyAlignment="1" applyProtection="1">
      <alignment vertical="center" wrapText="1"/>
    </xf>
    <xf numFmtId="164" fontId="4" fillId="3" borderId="1" xfId="4" applyNumberFormat="1" applyFont="1" applyFill="1" applyBorder="1" applyAlignment="1" applyProtection="1">
      <alignment vertical="center" wrapText="1"/>
    </xf>
    <xf numFmtId="9" fontId="4" fillId="5" borderId="1" xfId="3" applyFont="1" applyFill="1" applyBorder="1" applyAlignment="1" applyProtection="1">
      <alignment vertical="center" wrapText="1"/>
    </xf>
    <xf numFmtId="9" fontId="41" fillId="16" borderId="1" xfId="3" applyFont="1" applyFill="1" applyBorder="1" applyAlignment="1" applyProtection="1">
      <alignment vertical="center"/>
    </xf>
    <xf numFmtId="9" fontId="4" fillId="5" borderId="1" xfId="3" applyNumberFormat="1" applyFont="1" applyFill="1" applyBorder="1" applyAlignment="1" applyProtection="1">
      <alignment vertical="center" wrapText="1"/>
    </xf>
    <xf numFmtId="9" fontId="41" fillId="16" borderId="1" xfId="3" applyNumberFormat="1" applyFont="1" applyFill="1" applyBorder="1" applyAlignment="1" applyProtection="1">
      <alignment vertical="center"/>
    </xf>
    <xf numFmtId="0" fontId="33" fillId="15" borderId="1" xfId="0" applyFont="1" applyFill="1" applyBorder="1" applyAlignment="1" applyProtection="1">
      <alignment horizontal="center" vertical="center" wrapText="1"/>
      <protection locked="0"/>
    </xf>
    <xf numFmtId="0" fontId="33" fillId="15" borderId="5" xfId="0" applyFont="1" applyFill="1" applyBorder="1" applyAlignment="1">
      <alignment horizontal="center" vertical="center"/>
    </xf>
    <xf numFmtId="0" fontId="33" fillId="15" borderId="0" xfId="0" applyFont="1" applyFill="1" applyAlignment="1">
      <alignment horizontal="center" vertical="center"/>
    </xf>
    <xf numFmtId="0" fontId="31" fillId="8" borderId="0" xfId="0" applyFont="1" applyFill="1" applyAlignment="1">
      <alignment horizontal="left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2" fontId="31" fillId="0" borderId="1" xfId="3" applyNumberFormat="1" applyFont="1" applyBorder="1" applyAlignment="1" applyProtection="1">
      <alignment horizontal="center" vertical="center" wrapText="1"/>
      <protection locked="0"/>
    </xf>
    <xf numFmtId="166" fontId="31" fillId="0" borderId="1" xfId="3" applyNumberFormat="1" applyFont="1" applyBorder="1" applyAlignment="1" applyProtection="1">
      <alignment horizontal="center" vertical="center" wrapText="1"/>
      <protection locked="0"/>
    </xf>
    <xf numFmtId="0" fontId="30" fillId="8" borderId="5" xfId="0" applyFont="1" applyFill="1" applyBorder="1" applyAlignment="1" applyProtection="1">
      <alignment horizontal="left" vertical="center" wrapText="1"/>
      <protection locked="0"/>
    </xf>
    <xf numFmtId="0" fontId="30" fillId="8" borderId="0" xfId="0" applyFont="1" applyFill="1" applyBorder="1" applyAlignment="1" applyProtection="1">
      <alignment horizontal="left" vertical="center" wrapText="1"/>
      <protection locked="0"/>
    </xf>
    <xf numFmtId="0" fontId="33" fillId="15" borderId="1" xfId="0" applyFont="1" applyFill="1" applyBorder="1" applyAlignment="1" applyProtection="1">
      <alignment horizontal="left" vertical="center"/>
      <protection locked="0"/>
    </xf>
    <xf numFmtId="0" fontId="33" fillId="15" borderId="1" xfId="0" applyFont="1" applyFill="1" applyBorder="1" applyAlignment="1" applyProtection="1">
      <alignment horizontal="center" vertical="center" wrapText="1"/>
      <protection locked="0"/>
    </xf>
    <xf numFmtId="0" fontId="31" fillId="2" borderId="1" xfId="0" applyFont="1" applyFill="1" applyBorder="1" applyAlignment="1" applyProtection="1">
      <alignment horizontal="left" vertical="center" wrapText="1"/>
      <protection locked="0"/>
    </xf>
    <xf numFmtId="0" fontId="31" fillId="2" borderId="1" xfId="0" applyFont="1" applyFill="1" applyBorder="1" applyAlignment="1" applyProtection="1">
      <alignment horizontal="center" vertical="center"/>
      <protection locked="0"/>
    </xf>
    <xf numFmtId="0" fontId="31" fillId="2" borderId="1" xfId="0" applyFont="1" applyFill="1" applyBorder="1" applyAlignment="1" applyProtection="1">
      <alignment horizontal="center" vertical="center" wrapText="1"/>
      <protection locked="0"/>
    </xf>
    <xf numFmtId="166" fontId="5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31" fillId="2" borderId="1" xfId="0" applyFont="1" applyFill="1" applyBorder="1" applyAlignment="1" applyProtection="1">
      <alignment horizontal="center" wrapText="1"/>
      <protection locked="0"/>
    </xf>
    <xf numFmtId="2" fontId="5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31" fillId="2" borderId="1" xfId="0" applyFont="1" applyFill="1" applyBorder="1" applyAlignment="1" applyProtection="1">
      <alignment horizontal="center" vertical="top" wrapText="1"/>
      <protection locked="0"/>
    </xf>
    <xf numFmtId="9" fontId="5" fillId="2" borderId="53" xfId="3" applyFont="1" applyFill="1" applyBorder="1" applyAlignment="1" applyProtection="1">
      <alignment horizontal="center" vertical="center" wrapText="1"/>
      <protection locked="0"/>
    </xf>
    <xf numFmtId="10" fontId="5" fillId="2" borderId="53" xfId="3" applyNumberFormat="1" applyFont="1" applyFill="1" applyBorder="1" applyAlignment="1" applyProtection="1">
      <alignment horizontal="center" vertical="center" wrapText="1"/>
      <protection locked="0"/>
    </xf>
    <xf numFmtId="0" fontId="31" fillId="2" borderId="1" xfId="5" applyFont="1" applyFill="1" applyBorder="1" applyAlignment="1" applyProtection="1">
      <alignment horizontal="left" vertical="center" wrapText="1"/>
      <protection locked="0"/>
    </xf>
    <xf numFmtId="0" fontId="31" fillId="9" borderId="1" xfId="5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 applyProtection="1">
      <alignment horizontal="left" vertical="center" wrapText="1"/>
      <protection locked="0"/>
    </xf>
    <xf numFmtId="0" fontId="31" fillId="0" borderId="1" xfId="0" applyFont="1" applyBorder="1" applyAlignment="1" applyProtection="1">
      <alignment horizontal="center" wrapText="1"/>
      <protection locked="0"/>
    </xf>
    <xf numFmtId="0" fontId="31" fillId="0" borderId="1" xfId="0" applyFont="1" applyBorder="1" applyAlignment="1" applyProtection="1">
      <alignment horizontal="center" vertical="top" wrapText="1"/>
      <protection locked="0"/>
    </xf>
    <xf numFmtId="0" fontId="33" fillId="15" borderId="24" xfId="0" applyFont="1" applyFill="1" applyBorder="1" applyAlignment="1" applyProtection="1">
      <alignment horizontal="left" vertical="center" wrapText="1"/>
      <protection locked="0"/>
    </xf>
    <xf numFmtId="0" fontId="33" fillId="15" borderId="25" xfId="0" applyFont="1" applyFill="1" applyBorder="1" applyAlignment="1" applyProtection="1">
      <alignment horizontal="left" vertical="center" wrapText="1"/>
      <protection locked="0"/>
    </xf>
    <xf numFmtId="0" fontId="33" fillId="15" borderId="35" xfId="0" applyFont="1" applyFill="1" applyBorder="1" applyAlignment="1" applyProtection="1">
      <alignment horizontal="left" vertical="center" wrapText="1"/>
      <protection locked="0"/>
    </xf>
    <xf numFmtId="0" fontId="33" fillId="15" borderId="26" xfId="0" applyFont="1" applyFill="1" applyBorder="1" applyAlignment="1" applyProtection="1">
      <alignment horizontal="left" vertical="center" wrapText="1"/>
      <protection locked="0"/>
    </xf>
    <xf numFmtId="0" fontId="33" fillId="15" borderId="18" xfId="0" applyFont="1" applyFill="1" applyBorder="1" applyAlignment="1" applyProtection="1">
      <alignment horizontal="center" vertical="center" wrapText="1"/>
      <protection locked="0"/>
    </xf>
    <xf numFmtId="0" fontId="33" fillId="15" borderId="20" xfId="0" applyFont="1" applyFill="1" applyBorder="1" applyAlignment="1" applyProtection="1">
      <alignment horizontal="center" vertical="center" wrapText="1"/>
      <protection locked="0"/>
    </xf>
    <xf numFmtId="0" fontId="31" fillId="0" borderId="28" xfId="0" applyFont="1" applyBorder="1" applyAlignment="1" applyProtection="1">
      <alignment horizontal="left" vertical="center" wrapText="1"/>
      <protection locked="0"/>
    </xf>
    <xf numFmtId="0" fontId="31" fillId="0" borderId="32" xfId="0" applyFont="1" applyBorder="1" applyAlignment="1" applyProtection="1">
      <alignment horizontal="left" vertical="center" wrapText="1"/>
      <protection locked="0"/>
    </xf>
    <xf numFmtId="0" fontId="31" fillId="0" borderId="30" xfId="0" applyFont="1" applyBorder="1" applyAlignment="1" applyProtection="1">
      <alignment horizontal="center" vertical="center" wrapText="1"/>
      <protection locked="0"/>
    </xf>
    <xf numFmtId="0" fontId="31" fillId="0" borderId="33" xfId="0" applyFont="1" applyBorder="1" applyAlignment="1" applyProtection="1">
      <alignment horizontal="center" vertical="center" wrapText="1"/>
      <protection locked="0"/>
    </xf>
    <xf numFmtId="0" fontId="31" fillId="0" borderId="31" xfId="0" applyFont="1" applyBorder="1" applyAlignment="1" applyProtection="1">
      <alignment horizontal="center" vertical="center" wrapText="1"/>
      <protection locked="0"/>
    </xf>
    <xf numFmtId="0" fontId="33" fillId="15" borderId="1" xfId="0" applyFont="1" applyFill="1" applyBorder="1" applyAlignment="1" applyProtection="1">
      <alignment horizontal="left" vertical="center" wrapText="1"/>
      <protection locked="0"/>
    </xf>
    <xf numFmtId="166" fontId="31" fillId="0" borderId="0" xfId="3" applyNumberFormat="1" applyFont="1" applyBorder="1" applyAlignment="1" applyProtection="1">
      <alignment horizontal="center" vertical="center" wrapText="1"/>
    </xf>
    <xf numFmtId="166" fontId="31" fillId="2" borderId="0" xfId="3" applyNumberFormat="1" applyFont="1" applyFill="1" applyBorder="1" applyAlignment="1" applyProtection="1">
      <alignment horizontal="center" vertical="center" wrapText="1"/>
    </xf>
    <xf numFmtId="2" fontId="31" fillId="2" borderId="0" xfId="3" applyNumberFormat="1" applyFont="1" applyFill="1" applyBorder="1" applyAlignment="1" applyProtection="1">
      <alignment horizontal="center" vertical="center" wrapText="1"/>
    </xf>
    <xf numFmtId="170" fontId="31" fillId="2" borderId="0" xfId="3" applyNumberFormat="1" applyFont="1" applyFill="1" applyBorder="1" applyAlignment="1" applyProtection="1">
      <alignment horizontal="center" vertical="center" wrapText="1"/>
    </xf>
    <xf numFmtId="0" fontId="61" fillId="8" borderId="5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 applyProtection="1">
      <alignment horizontal="left" vertical="center" wrapText="1"/>
      <protection locked="0"/>
    </xf>
    <xf numFmtId="0" fontId="5" fillId="5" borderId="8" xfId="0" applyFont="1" applyFill="1" applyBorder="1" applyAlignment="1" applyProtection="1">
      <alignment horizontal="left" vertical="center" wrapText="1"/>
      <protection locked="0"/>
    </xf>
    <xf numFmtId="0" fontId="33" fillId="15" borderId="2" xfId="0" applyFont="1" applyFill="1" applyBorder="1" applyAlignment="1" applyProtection="1">
      <alignment horizontal="left" vertical="center" wrapText="1"/>
      <protection locked="0"/>
    </xf>
    <xf numFmtId="0" fontId="33" fillId="15" borderId="4" xfId="0" applyFont="1" applyFill="1" applyBorder="1" applyAlignment="1" applyProtection="1">
      <alignment horizontal="center" vertical="center" wrapText="1"/>
    </xf>
    <xf numFmtId="0" fontId="33" fillId="15" borderId="1" xfId="0" applyFont="1" applyFill="1" applyBorder="1" applyAlignment="1" applyProtection="1">
      <alignment horizontal="center" vertical="center" wrapText="1"/>
    </xf>
    <xf numFmtId="0" fontId="33" fillId="15" borderId="2" xfId="0" applyFont="1" applyFill="1" applyBorder="1" applyAlignment="1" applyProtection="1">
      <alignment horizontal="center" vertical="center" wrapText="1"/>
    </xf>
    <xf numFmtId="0" fontId="39" fillId="0" borderId="36" xfId="0" applyFont="1" applyBorder="1" applyAlignment="1" applyProtection="1">
      <alignment horizontal="center" vertical="center"/>
    </xf>
    <xf numFmtId="0" fontId="33" fillId="15" borderId="21" xfId="0" applyFont="1" applyFill="1" applyBorder="1" applyAlignment="1" applyProtection="1">
      <alignment horizontal="right" vertical="center" wrapText="1"/>
    </xf>
    <xf numFmtId="0" fontId="33" fillId="15" borderId="22" xfId="0" applyFont="1" applyFill="1" applyBorder="1" applyAlignment="1" applyProtection="1">
      <alignment horizontal="right" vertical="center" wrapText="1"/>
    </xf>
    <xf numFmtId="0" fontId="33" fillId="15" borderId="23" xfId="0" applyFont="1" applyFill="1" applyBorder="1" applyAlignment="1" applyProtection="1">
      <alignment horizontal="right" vertical="center" wrapText="1"/>
    </xf>
    <xf numFmtId="0" fontId="30" fillId="8" borderId="19" xfId="0" applyFont="1" applyFill="1" applyBorder="1" applyAlignment="1" applyProtection="1">
      <alignment horizontal="left" vertical="center" wrapText="1"/>
      <protection locked="0"/>
    </xf>
    <xf numFmtId="0" fontId="33" fillId="15" borderId="15" xfId="0" applyFont="1" applyFill="1" applyBorder="1" applyAlignment="1" applyProtection="1">
      <alignment horizontal="center" vertical="center" wrapText="1"/>
    </xf>
    <xf numFmtId="0" fontId="33" fillId="15" borderId="10" xfId="0" applyFont="1" applyFill="1" applyBorder="1" applyAlignment="1" applyProtection="1">
      <alignment horizontal="center" vertical="center" wrapText="1"/>
    </xf>
    <xf numFmtId="0" fontId="33" fillId="15" borderId="1" xfId="0" applyFont="1" applyFill="1" applyBorder="1" applyAlignment="1" applyProtection="1">
      <alignment horizontal="left" vertical="center" wrapText="1"/>
    </xf>
    <xf numFmtId="0" fontId="30" fillId="8" borderId="19" xfId="0" applyNumberFormat="1" applyFont="1" applyFill="1" applyBorder="1" applyAlignment="1" applyProtection="1">
      <alignment horizontal="justify" vertical="center" wrapText="1"/>
      <protection locked="0"/>
    </xf>
    <xf numFmtId="0" fontId="30" fillId="8" borderId="0" xfId="0" applyNumberFormat="1" applyFont="1" applyFill="1" applyBorder="1" applyAlignment="1" applyProtection="1">
      <alignment horizontal="justify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30" fillId="3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30" fillId="2" borderId="1" xfId="0" applyFont="1" applyFill="1" applyBorder="1" applyAlignment="1" applyProtection="1">
      <alignment horizontal="left" vertical="center" wrapText="1"/>
    </xf>
    <xf numFmtId="165" fontId="33" fillId="15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33" fillId="15" borderId="11" xfId="0" applyFont="1" applyFill="1" applyBorder="1" applyAlignment="1" applyProtection="1">
      <alignment horizontal="left" vertical="center"/>
      <protection locked="0"/>
    </xf>
    <xf numFmtId="0" fontId="33" fillId="15" borderId="8" xfId="0" applyFont="1" applyFill="1" applyBorder="1" applyAlignment="1" applyProtection="1">
      <alignment horizontal="left" vertical="center"/>
      <protection locked="0"/>
    </xf>
    <xf numFmtId="0" fontId="33" fillId="15" borderId="3" xfId="0" applyFont="1" applyFill="1" applyBorder="1" applyAlignment="1" applyProtection="1">
      <alignment horizontal="left" vertical="center"/>
      <protection locked="0"/>
    </xf>
    <xf numFmtId="41" fontId="33" fillId="15" borderId="2" xfId="0" applyNumberFormat="1" applyFont="1" applyFill="1" applyBorder="1" applyAlignment="1" applyProtection="1">
      <alignment horizontal="center" vertical="center" wrapText="1"/>
    </xf>
    <xf numFmtId="41" fontId="33" fillId="15" borderId="4" xfId="0" applyNumberFormat="1" applyFont="1" applyFill="1" applyBorder="1" applyAlignment="1" applyProtection="1">
      <alignment horizontal="center" vertical="center" wrapText="1"/>
    </xf>
    <xf numFmtId="0" fontId="33" fillId="15" borderId="12" xfId="0" applyFont="1" applyFill="1" applyBorder="1" applyAlignment="1" applyProtection="1">
      <alignment horizontal="center" vertical="center" wrapText="1"/>
    </xf>
    <xf numFmtId="0" fontId="33" fillId="15" borderId="14" xfId="0" applyFont="1" applyFill="1" applyBorder="1" applyAlignment="1" applyProtection="1">
      <alignment horizontal="center" vertical="center" wrapText="1"/>
    </xf>
    <xf numFmtId="0" fontId="33" fillId="15" borderId="18" xfId="0" applyFont="1" applyFill="1" applyBorder="1" applyAlignment="1" applyProtection="1">
      <alignment horizontal="center" vertical="center" wrapText="1"/>
    </xf>
    <xf numFmtId="0" fontId="33" fillId="15" borderId="20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33" fillId="15" borderId="11" xfId="0" applyFont="1" applyFill="1" applyBorder="1" applyAlignment="1" applyProtection="1">
      <alignment horizontal="left" vertical="center" wrapText="1"/>
      <protection locked="0"/>
    </xf>
    <xf numFmtId="0" fontId="33" fillId="15" borderId="8" xfId="0" applyFont="1" applyFill="1" applyBorder="1" applyAlignment="1" applyProtection="1">
      <alignment horizontal="left" vertical="center" wrapText="1"/>
      <protection locked="0"/>
    </xf>
    <xf numFmtId="0" fontId="33" fillId="15" borderId="3" xfId="0" applyFont="1" applyFill="1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41" fillId="16" borderId="11" xfId="0" applyFont="1" applyFill="1" applyBorder="1" applyAlignment="1" applyProtection="1">
      <alignment horizontal="center" vertical="center" wrapText="1"/>
    </xf>
    <xf numFmtId="0" fontId="41" fillId="16" borderId="8" xfId="0" applyFont="1" applyFill="1" applyBorder="1" applyAlignment="1" applyProtection="1">
      <alignment horizontal="center" vertical="center" wrapText="1"/>
    </xf>
    <xf numFmtId="0" fontId="41" fillId="16" borderId="3" xfId="0" applyFont="1" applyFill="1" applyBorder="1" applyAlignment="1" applyProtection="1">
      <alignment horizontal="center" vertical="center" wrapText="1"/>
    </xf>
    <xf numFmtId="0" fontId="40" fillId="2" borderId="13" xfId="0" applyFont="1" applyFill="1" applyBorder="1" applyAlignment="1" applyProtection="1">
      <alignment horizontal="left" vertical="center"/>
      <protection locked="0"/>
    </xf>
    <xf numFmtId="0" fontId="41" fillId="16" borderId="17" xfId="0" applyFont="1" applyFill="1" applyBorder="1" applyAlignment="1" applyProtection="1">
      <alignment horizontal="center" vertical="center" wrapText="1"/>
    </xf>
    <xf numFmtId="0" fontId="41" fillId="16" borderId="0" xfId="0" applyFont="1" applyFill="1" applyBorder="1" applyAlignment="1" applyProtection="1">
      <alignment horizontal="center" vertical="center" wrapText="1"/>
    </xf>
    <xf numFmtId="0" fontId="42" fillId="11" borderId="17" xfId="0" applyFont="1" applyFill="1" applyBorder="1" applyAlignment="1" applyProtection="1">
      <alignment horizontal="left" vertical="center" wrapText="1"/>
      <protection locked="0"/>
    </xf>
    <xf numFmtId="0" fontId="42" fillId="11" borderId="0" xfId="0" applyFont="1" applyFill="1" applyBorder="1" applyAlignment="1" applyProtection="1">
      <alignment horizontal="left" vertical="center" wrapText="1"/>
      <protection locked="0"/>
    </xf>
    <xf numFmtId="0" fontId="4" fillId="8" borderId="19" xfId="0" applyFont="1" applyFill="1" applyBorder="1" applyAlignment="1" applyProtection="1">
      <alignment horizontal="left" vertical="center"/>
      <protection locked="0"/>
    </xf>
    <xf numFmtId="0" fontId="4" fillId="8" borderId="0" xfId="0" applyFont="1" applyFill="1" applyBorder="1" applyAlignment="1" applyProtection="1">
      <alignment horizontal="left" vertical="center"/>
      <protection locked="0"/>
    </xf>
    <xf numFmtId="0" fontId="33" fillId="15" borderId="1" xfId="0" applyFont="1" applyFill="1" applyBorder="1" applyAlignment="1" applyProtection="1">
      <alignment horizontal="center" vertical="center" textRotation="90"/>
    </xf>
    <xf numFmtId="41" fontId="33" fillId="15" borderId="1" xfId="0" applyNumberFormat="1" applyFont="1" applyFill="1" applyBorder="1" applyAlignment="1" applyProtection="1">
      <alignment horizontal="center" vertical="center" wrapText="1"/>
    </xf>
    <xf numFmtId="0" fontId="33" fillId="15" borderId="3" xfId="0" applyFont="1" applyFill="1" applyBorder="1" applyAlignment="1" applyProtection="1">
      <alignment horizontal="center" vertical="center" textRotation="90"/>
    </xf>
    <xf numFmtId="0" fontId="30" fillId="2" borderId="1" xfId="0" applyFont="1" applyFill="1" applyBorder="1" applyAlignment="1" applyProtection="1">
      <alignment horizontal="left" vertical="center"/>
    </xf>
    <xf numFmtId="41" fontId="4" fillId="2" borderId="1" xfId="0" applyNumberFormat="1" applyFont="1" applyFill="1" applyBorder="1" applyAlignment="1" applyProtection="1">
      <alignment horizontal="left" vertical="center" wrapText="1"/>
    </xf>
    <xf numFmtId="41" fontId="33" fillId="15" borderId="1" xfId="0" applyNumberFormat="1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10" borderId="1" xfId="0" applyFont="1" applyFill="1" applyBorder="1" applyAlignment="1" applyProtection="1">
      <alignment horizontal="center" vertical="center" wrapText="1"/>
    </xf>
    <xf numFmtId="0" fontId="4" fillId="17" borderId="2" xfId="0" applyFont="1" applyFill="1" applyBorder="1" applyAlignment="1" applyProtection="1">
      <alignment horizontal="center" vertical="center" wrapText="1"/>
    </xf>
    <xf numFmtId="0" fontId="4" fillId="17" borderId="4" xfId="0" applyFont="1" applyFill="1" applyBorder="1" applyAlignment="1" applyProtection="1">
      <alignment horizontal="center" vertical="center" wrapText="1"/>
    </xf>
    <xf numFmtId="0" fontId="4" fillId="17" borderId="1" xfId="0" applyFont="1" applyFill="1" applyBorder="1" applyAlignment="1" applyProtection="1">
      <alignment horizontal="center" vertical="center" wrapText="1"/>
    </xf>
    <xf numFmtId="0" fontId="4" fillId="10" borderId="2" xfId="0" applyFont="1" applyFill="1" applyBorder="1" applyAlignment="1" applyProtection="1">
      <alignment horizontal="center" vertical="center" wrapText="1"/>
    </xf>
    <xf numFmtId="0" fontId="4" fillId="10" borderId="4" xfId="0" applyFont="1" applyFill="1" applyBorder="1" applyAlignment="1" applyProtection="1">
      <alignment horizontal="center" vertical="center" wrapText="1"/>
    </xf>
    <xf numFmtId="0" fontId="4" fillId="17" borderId="1" xfId="0" applyFont="1" applyFill="1" applyBorder="1" applyAlignment="1" applyProtection="1">
      <alignment horizontal="center" vertical="center" wrapText="1"/>
      <protection locked="0"/>
    </xf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0" fontId="54" fillId="0" borderId="17" xfId="0" applyFont="1" applyBorder="1" applyAlignment="1" applyProtection="1">
      <alignment horizontal="center" vertical="center"/>
      <protection locked="0"/>
    </xf>
    <xf numFmtId="0" fontId="35" fillId="15" borderId="1" xfId="0" applyFont="1" applyFill="1" applyBorder="1" applyAlignment="1" applyProtection="1">
      <alignment horizontal="left" vertical="center"/>
      <protection locked="0"/>
    </xf>
    <xf numFmtId="0" fontId="36" fillId="5" borderId="1" xfId="0" applyFont="1" applyFill="1" applyBorder="1" applyAlignment="1" applyProtection="1">
      <alignment horizontal="justify" vertical="center" wrapText="1"/>
      <protection locked="0"/>
    </xf>
    <xf numFmtId="0" fontId="35" fillId="15" borderId="11" xfId="0" applyFont="1" applyFill="1" applyBorder="1" applyAlignment="1" applyProtection="1">
      <alignment horizontal="center" vertical="center"/>
      <protection locked="0"/>
    </xf>
    <xf numFmtId="0" fontId="35" fillId="15" borderId="8" xfId="0" applyFont="1" applyFill="1" applyBorder="1" applyAlignment="1" applyProtection="1">
      <alignment horizontal="center" vertical="center"/>
      <protection locked="0"/>
    </xf>
    <xf numFmtId="164" fontId="35" fillId="15" borderId="1" xfId="4" applyFont="1" applyFill="1" applyBorder="1" applyAlignment="1" applyProtection="1">
      <alignment horizontal="center" vertical="center" wrapText="1"/>
      <protection locked="0"/>
    </xf>
    <xf numFmtId="0" fontId="33" fillId="15" borderId="1" xfId="0" applyFont="1" applyFill="1" applyBorder="1" applyAlignment="1" applyProtection="1">
      <alignment horizontal="right" vertical="center" wrapText="1"/>
    </xf>
    <xf numFmtId="168" fontId="33" fillId="15" borderId="1" xfId="4" applyNumberFormat="1" applyFont="1" applyFill="1" applyBorder="1" applyAlignment="1" applyProtection="1">
      <alignment horizontal="center" vertical="center" wrapText="1"/>
    </xf>
    <xf numFmtId="0" fontId="35" fillId="15" borderId="2" xfId="0" applyFont="1" applyFill="1" applyBorder="1" applyAlignment="1" applyProtection="1">
      <alignment horizontal="center" vertical="center" wrapText="1"/>
      <protection locked="0"/>
    </xf>
    <xf numFmtId="0" fontId="35" fillId="15" borderId="4" xfId="0" applyFont="1" applyFill="1" applyBorder="1" applyAlignment="1" applyProtection="1">
      <alignment horizontal="center" vertical="center" wrapText="1"/>
      <protection locked="0"/>
    </xf>
    <xf numFmtId="0" fontId="35" fillId="15" borderId="1" xfId="0" applyFont="1" applyFill="1" applyBorder="1" applyAlignment="1" applyProtection="1">
      <alignment horizontal="center" vertical="center" wrapText="1"/>
      <protection locked="0"/>
    </xf>
    <xf numFmtId="0" fontId="35" fillId="15" borderId="1" xfId="0" applyFont="1" applyFill="1" applyBorder="1" applyAlignment="1" applyProtection="1">
      <alignment horizontal="center" vertical="center"/>
      <protection locked="0"/>
    </xf>
    <xf numFmtId="0" fontId="33" fillId="15" borderId="12" xfId="0" applyFont="1" applyFill="1" applyBorder="1" applyAlignment="1" applyProtection="1">
      <alignment horizontal="left" vertical="center"/>
      <protection locked="0"/>
    </xf>
    <xf numFmtId="0" fontId="33" fillId="15" borderId="13" xfId="0" applyFont="1" applyFill="1" applyBorder="1" applyAlignment="1" applyProtection="1">
      <alignment horizontal="left" vertical="center"/>
      <protection locked="0"/>
    </xf>
    <xf numFmtId="0" fontId="33" fillId="25" borderId="11" xfId="0" applyFont="1" applyFill="1" applyBorder="1" applyAlignment="1" applyProtection="1">
      <alignment horizontal="left" vertical="center"/>
      <protection locked="0"/>
    </xf>
    <xf numFmtId="0" fontId="33" fillId="25" borderId="8" xfId="0" applyFont="1" applyFill="1" applyBorder="1" applyAlignment="1" applyProtection="1">
      <alignment horizontal="left" vertical="center"/>
      <protection locked="0"/>
    </xf>
    <xf numFmtId="0" fontId="33" fillId="25" borderId="3" xfId="0" applyFont="1" applyFill="1" applyBorder="1" applyAlignment="1" applyProtection="1">
      <alignment horizontal="left" vertical="center"/>
      <protection locked="0"/>
    </xf>
    <xf numFmtId="0" fontId="4" fillId="8" borderId="13" xfId="0" applyFont="1" applyFill="1" applyBorder="1" applyAlignment="1">
      <alignment horizontal="left" vertical="center" wrapText="1"/>
    </xf>
    <xf numFmtId="0" fontId="4" fillId="8" borderId="14" xfId="0" applyFont="1" applyFill="1" applyBorder="1" applyAlignment="1">
      <alignment horizontal="left" vertical="center" wrapText="1"/>
    </xf>
    <xf numFmtId="0" fontId="64" fillId="15" borderId="11" xfId="0" applyFont="1" applyFill="1" applyBorder="1" applyAlignment="1" applyProtection="1">
      <alignment horizontal="left" vertical="center" wrapText="1"/>
      <protection locked="0"/>
    </xf>
    <xf numFmtId="0" fontId="64" fillId="15" borderId="8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64" fillId="15" borderId="11" xfId="0" applyFont="1" applyFill="1" applyBorder="1" applyAlignment="1">
      <alignment horizontal="center" vertical="center" wrapText="1"/>
    </xf>
    <xf numFmtId="0" fontId="64" fillId="15" borderId="8" xfId="0" applyFont="1" applyFill="1" applyBorder="1" applyAlignment="1">
      <alignment horizontal="center" vertical="center" wrapText="1"/>
    </xf>
    <xf numFmtId="0" fontId="64" fillId="15" borderId="3" xfId="0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 horizontal="center" vertical="center" wrapText="1"/>
    </xf>
    <xf numFmtId="0" fontId="30" fillId="26" borderId="3" xfId="0" applyFont="1" applyFill="1" applyBorder="1" applyAlignment="1">
      <alignment horizontal="center" vertical="center" wrapText="1"/>
    </xf>
    <xf numFmtId="0" fontId="64" fillId="15" borderId="1" xfId="0" applyFont="1" applyFill="1" applyBorder="1" applyAlignment="1">
      <alignment horizontal="center" vertical="center" wrapText="1"/>
    </xf>
    <xf numFmtId="0" fontId="30" fillId="26" borderId="50" xfId="0" applyFont="1" applyFill="1" applyBorder="1" applyAlignment="1">
      <alignment horizontal="center" vertical="center" wrapText="1"/>
    </xf>
    <xf numFmtId="0" fontId="30" fillId="26" borderId="4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justify" vertical="center" wrapText="1"/>
    </xf>
    <xf numFmtId="0" fontId="5" fillId="5" borderId="11" xfId="0" applyFont="1" applyFill="1" applyBorder="1" applyAlignment="1" applyProtection="1">
      <alignment horizontal="left" wrapText="1"/>
      <protection locked="0"/>
    </xf>
    <xf numFmtId="0" fontId="5" fillId="5" borderId="8" xfId="0" applyFont="1" applyFill="1" applyBorder="1" applyAlignment="1" applyProtection="1">
      <alignment horizontal="left" wrapText="1"/>
      <protection locked="0"/>
    </xf>
    <xf numFmtId="0" fontId="5" fillId="5" borderId="3" xfId="0" applyFont="1" applyFill="1" applyBorder="1" applyAlignment="1" applyProtection="1">
      <alignment horizontal="left" wrapText="1"/>
      <protection locked="0"/>
    </xf>
    <xf numFmtId="0" fontId="33" fillId="15" borderId="8" xfId="0" applyFont="1" applyFill="1" applyBorder="1" applyAlignment="1">
      <alignment horizontal="right" vertical="center" wrapText="1"/>
    </xf>
    <xf numFmtId="0" fontId="39" fillId="0" borderId="8" xfId="0" applyFont="1" applyBorder="1" applyAlignment="1">
      <alignment horizontal="center"/>
    </xf>
    <xf numFmtId="0" fontId="64" fillId="15" borderId="11" xfId="0" applyFont="1" applyFill="1" applyBorder="1" applyAlignment="1">
      <alignment horizontal="left" vertical="center" wrapText="1"/>
    </xf>
    <xf numFmtId="0" fontId="64" fillId="15" borderId="8" xfId="0" applyFont="1" applyFill="1" applyBorder="1" applyAlignment="1">
      <alignment horizontal="left" vertical="center" wrapText="1"/>
    </xf>
    <xf numFmtId="0" fontId="64" fillId="15" borderId="3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vertical="top" wrapText="1"/>
      <protection locked="0"/>
    </xf>
    <xf numFmtId="0" fontId="4" fillId="2" borderId="3" xfId="0" applyFont="1" applyFill="1" applyBorder="1" applyAlignment="1" applyProtection="1">
      <alignment vertical="top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64" fillId="2" borderId="8" xfId="0" applyFont="1" applyFill="1" applyBorder="1" applyAlignment="1" applyProtection="1">
      <alignment horizontal="center" vertical="center" wrapText="1"/>
      <protection locked="0"/>
    </xf>
    <xf numFmtId="0" fontId="64" fillId="2" borderId="3" xfId="0" applyFont="1" applyFill="1" applyBorder="1" applyAlignment="1" applyProtection="1">
      <alignment horizontal="center" vertical="center" wrapText="1"/>
      <protection locked="0"/>
    </xf>
    <xf numFmtId="0" fontId="4" fillId="29" borderId="8" xfId="0" applyFont="1" applyFill="1" applyBorder="1" applyAlignment="1" applyProtection="1">
      <alignment vertical="center" wrapText="1"/>
      <protection locked="0"/>
    </xf>
    <xf numFmtId="0" fontId="4" fillId="29" borderId="3" xfId="0" applyFont="1" applyFill="1" applyBorder="1" applyAlignment="1" applyProtection="1">
      <alignment vertical="center" wrapText="1"/>
      <protection locked="0"/>
    </xf>
    <xf numFmtId="0" fontId="68" fillId="9" borderId="1" xfId="0" applyFont="1" applyFill="1" applyBorder="1" applyAlignment="1" applyProtection="1">
      <alignment vertical="center" wrapText="1"/>
      <protection locked="0"/>
    </xf>
    <xf numFmtId="0" fontId="33" fillId="20" borderId="17" xfId="0" applyFont="1" applyFill="1" applyBorder="1" applyAlignment="1">
      <alignment horizontal="center" vertical="center" wrapText="1"/>
    </xf>
    <xf numFmtId="0" fontId="33" fillId="20" borderId="6" xfId="0" applyFont="1" applyFill="1" applyBorder="1" applyAlignment="1">
      <alignment horizontal="center" vertical="center" wrapText="1"/>
    </xf>
    <xf numFmtId="0" fontId="29" fillId="20" borderId="37" xfId="0" applyFont="1" applyFill="1" applyBorder="1" applyAlignment="1">
      <alignment horizontal="center" vertical="center"/>
    </xf>
    <xf numFmtId="9" fontId="29" fillId="20" borderId="37" xfId="3" applyFont="1" applyFill="1" applyBorder="1" applyAlignment="1">
      <alignment horizontal="center" vertical="center"/>
    </xf>
    <xf numFmtId="49" fontId="29" fillId="20" borderId="37" xfId="4" applyNumberFormat="1" applyFont="1" applyFill="1" applyBorder="1" applyAlignment="1">
      <alignment horizontal="center" vertical="center"/>
    </xf>
    <xf numFmtId="49" fontId="29" fillId="20" borderId="47" xfId="4" applyNumberFormat="1" applyFont="1" applyFill="1" applyBorder="1" applyAlignment="1">
      <alignment horizontal="center" vertical="center"/>
    </xf>
    <xf numFmtId="49" fontId="29" fillId="20" borderId="42" xfId="4" applyNumberFormat="1" applyFont="1" applyFill="1" applyBorder="1" applyAlignment="1">
      <alignment horizontal="center" vertical="center"/>
    </xf>
    <xf numFmtId="168" fontId="29" fillId="20" borderId="0" xfId="4" applyNumberFormat="1" applyFont="1" applyFill="1" applyBorder="1" applyAlignment="1">
      <alignment horizontal="center" vertical="center" wrapText="1"/>
    </xf>
    <xf numFmtId="49" fontId="29" fillId="20" borderId="47" xfId="4" applyNumberFormat="1" applyFont="1" applyFill="1" applyBorder="1" applyAlignment="1">
      <alignment horizontal="center" vertical="center" wrapText="1"/>
    </xf>
    <xf numFmtId="164" fontId="29" fillId="20" borderId="44" xfId="4" applyFont="1" applyFill="1" applyBorder="1" applyAlignment="1">
      <alignment horizontal="center" vertical="center"/>
    </xf>
    <xf numFmtId="164" fontId="29" fillId="20" borderId="48" xfId="4" applyFont="1" applyFill="1" applyBorder="1" applyAlignment="1">
      <alignment horizontal="center" vertical="center"/>
    </xf>
    <xf numFmtId="164" fontId="29" fillId="20" borderId="49" xfId="4" applyFont="1" applyFill="1" applyBorder="1" applyAlignment="1">
      <alignment horizontal="center" vertical="center"/>
    </xf>
    <xf numFmtId="164" fontId="29" fillId="20" borderId="38" xfId="4" applyFont="1" applyFill="1" applyBorder="1" applyAlignment="1">
      <alignment horizontal="center" vertical="center"/>
    </xf>
    <xf numFmtId="164" fontId="29" fillId="20" borderId="45" xfId="4" applyFont="1" applyFill="1" applyBorder="1" applyAlignment="1">
      <alignment horizontal="center" vertical="center"/>
    </xf>
    <xf numFmtId="164" fontId="29" fillId="20" borderId="46" xfId="4" applyFont="1" applyFill="1" applyBorder="1" applyAlignment="1">
      <alignment horizontal="center" vertical="center"/>
    </xf>
    <xf numFmtId="168" fontId="29" fillId="20" borderId="44" xfId="4" applyNumberFormat="1" applyFont="1" applyFill="1" applyBorder="1" applyAlignment="1">
      <alignment horizontal="center" vertical="center" wrapText="1"/>
    </xf>
    <xf numFmtId="168" fontId="29" fillId="20" borderId="38" xfId="4" applyNumberFormat="1" applyFont="1" applyFill="1" applyBorder="1" applyAlignment="1">
      <alignment horizontal="center" vertical="center" wrapText="1"/>
    </xf>
    <xf numFmtId="0" fontId="33" fillId="15" borderId="1" xfId="13" applyFont="1" applyFill="1" applyBorder="1" applyAlignment="1">
      <alignment horizontal="center" vertical="center" wrapText="1"/>
    </xf>
    <xf numFmtId="41" fontId="33" fillId="15" borderId="1" xfId="13" applyNumberFormat="1" applyFont="1" applyFill="1" applyBorder="1" applyAlignment="1">
      <alignment horizontal="center" vertical="center" wrapText="1"/>
    </xf>
    <xf numFmtId="41" fontId="33" fillId="15" borderId="50" xfId="13" applyNumberFormat="1" applyFont="1" applyFill="1" applyBorder="1" applyAlignment="1">
      <alignment horizontal="center" vertical="center" wrapText="1"/>
    </xf>
    <xf numFmtId="0" fontId="30" fillId="12" borderId="1" xfId="13" applyFont="1" applyFill="1" applyBorder="1" applyAlignment="1">
      <alignment horizontal="left" vertical="center" readingOrder="1"/>
    </xf>
    <xf numFmtId="0" fontId="30" fillId="13" borderId="1" xfId="13" applyFont="1" applyFill="1" applyBorder="1" applyAlignment="1">
      <alignment horizontal="left" vertical="center" wrapText="1" readingOrder="1"/>
    </xf>
    <xf numFmtId="0" fontId="30" fillId="14" borderId="1" xfId="13" applyFont="1" applyFill="1" applyBorder="1" applyAlignment="1">
      <alignment horizontal="left" vertical="center" wrapText="1" readingOrder="1"/>
    </xf>
    <xf numFmtId="0" fontId="33" fillId="15" borderId="1" xfId="13" applyFont="1" applyFill="1" applyBorder="1" applyAlignment="1">
      <alignment horizontal="right"/>
    </xf>
    <xf numFmtId="0" fontId="33" fillId="15" borderId="1" xfId="13" applyFont="1" applyFill="1" applyBorder="1" applyAlignment="1">
      <alignment horizontal="center" vertical="center" wrapText="1" readingOrder="1"/>
    </xf>
    <xf numFmtId="0" fontId="33" fillId="15" borderId="50" xfId="13" applyFont="1" applyFill="1" applyBorder="1" applyAlignment="1">
      <alignment horizontal="center" vertical="center" wrapText="1" readingOrder="1"/>
    </xf>
    <xf numFmtId="164" fontId="53" fillId="2" borderId="1" xfId="4" applyNumberFormat="1" applyFont="1" applyFill="1" applyBorder="1" applyAlignment="1" applyProtection="1">
      <alignment horizontal="right" vertical="center" wrapText="1"/>
      <protection locked="0"/>
    </xf>
    <xf numFmtId="164" fontId="53" fillId="4" borderId="1" xfId="4" applyNumberFormat="1" applyFont="1" applyFill="1" applyBorder="1" applyAlignment="1" applyProtection="1">
      <alignment horizontal="right" vertical="center" wrapText="1"/>
    </xf>
    <xf numFmtId="164" fontId="53" fillId="0" borderId="1" xfId="4" applyNumberFormat="1" applyFont="1" applyFill="1" applyBorder="1" applyAlignment="1" applyProtection="1">
      <alignment horizontal="right" vertical="center" wrapText="1"/>
      <protection locked="0"/>
    </xf>
    <xf numFmtId="196" fontId="4" fillId="2" borderId="1" xfId="4" applyNumberFormat="1" applyFont="1" applyFill="1" applyBorder="1" applyAlignment="1" applyProtection="1">
      <alignment vertical="center" wrapText="1"/>
    </xf>
    <xf numFmtId="0" fontId="77" fillId="2" borderId="1" xfId="0" applyFont="1" applyFill="1" applyBorder="1" applyAlignment="1" applyProtection="1">
      <alignment vertical="center" wrapText="1"/>
      <protection locked="0"/>
    </xf>
    <xf numFmtId="166" fontId="5" fillId="2" borderId="1" xfId="3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166" fontId="31" fillId="2" borderId="1" xfId="3" applyNumberFormat="1" applyFont="1" applyFill="1" applyBorder="1" applyAlignment="1" applyProtection="1">
      <alignment horizontal="center" vertical="center" wrapText="1"/>
      <protection locked="0"/>
    </xf>
    <xf numFmtId="2" fontId="31" fillId="2" borderId="50" xfId="3" applyNumberFormat="1" applyFont="1" applyFill="1" applyBorder="1" applyAlignment="1" applyProtection="1">
      <alignment horizontal="center" vertical="center" wrapText="1"/>
      <protection locked="0"/>
    </xf>
    <xf numFmtId="2" fontId="31" fillId="2" borderId="4" xfId="3" applyNumberFormat="1" applyFont="1" applyFill="1" applyBorder="1" applyAlignment="1" applyProtection="1">
      <alignment horizontal="center" vertical="center" wrapText="1"/>
      <protection locked="0"/>
    </xf>
    <xf numFmtId="1" fontId="31" fillId="2" borderId="54" xfId="3" applyNumberFormat="1" applyFont="1" applyFill="1" applyBorder="1" applyAlignment="1">
      <alignment horizontal="center" vertical="center"/>
    </xf>
    <xf numFmtId="9" fontId="5" fillId="2" borderId="53" xfId="3" applyFont="1" applyFill="1" applyBorder="1" applyAlignment="1">
      <alignment horizontal="center" vertical="center" wrapText="1"/>
    </xf>
    <xf numFmtId="1" fontId="5" fillId="2" borderId="1" xfId="4" applyNumberFormat="1" applyFont="1" applyFill="1" applyBorder="1" applyAlignment="1" applyProtection="1">
      <alignment horizontal="center" vertical="center" wrapText="1"/>
      <protection locked="0"/>
    </xf>
    <xf numFmtId="2" fontId="31" fillId="2" borderId="1" xfId="3" applyNumberFormat="1" applyFont="1" applyFill="1" applyBorder="1" applyAlignment="1" applyProtection="1">
      <alignment horizontal="center" vertical="center" wrapText="1"/>
      <protection locked="0"/>
    </xf>
    <xf numFmtId="165" fontId="31" fillId="2" borderId="50" xfId="3" applyNumberFormat="1" applyFont="1" applyFill="1" applyBorder="1" applyAlignment="1">
      <alignment horizontal="center" vertical="center" wrapText="1"/>
    </xf>
    <xf numFmtId="165" fontId="31" fillId="2" borderId="52" xfId="3" applyNumberFormat="1" applyFont="1" applyFill="1" applyBorder="1" applyAlignment="1">
      <alignment horizontal="center" vertical="center" wrapText="1"/>
    </xf>
    <xf numFmtId="2" fontId="31" fillId="2" borderId="52" xfId="3" applyNumberFormat="1" applyFont="1" applyFill="1" applyBorder="1" applyAlignment="1" applyProtection="1">
      <alignment horizontal="center" vertical="center" wrapText="1"/>
      <protection locked="0"/>
    </xf>
    <xf numFmtId="166" fontId="31" fillId="2" borderId="50" xfId="3" applyNumberFormat="1" applyFont="1" applyFill="1" applyBorder="1" applyAlignment="1">
      <alignment horizontal="center" vertical="center" wrapText="1"/>
    </xf>
    <xf numFmtId="166" fontId="31" fillId="2" borderId="52" xfId="3" applyNumberFormat="1" applyFont="1" applyFill="1" applyBorder="1" applyAlignment="1">
      <alignment horizontal="center" vertical="center" wrapText="1"/>
    </xf>
    <xf numFmtId="1" fontId="31" fillId="2" borderId="50" xfId="3" applyNumberFormat="1" applyFont="1" applyFill="1" applyBorder="1" applyAlignment="1">
      <alignment horizontal="center" vertical="center" wrapText="1"/>
    </xf>
    <xf numFmtId="1" fontId="31" fillId="2" borderId="50" xfId="3" applyNumberFormat="1" applyFont="1" applyFill="1" applyBorder="1" applyAlignment="1" applyProtection="1">
      <alignment horizontal="center" vertical="center" wrapText="1"/>
      <protection locked="0"/>
    </xf>
    <xf numFmtId="1" fontId="31" fillId="2" borderId="52" xfId="3" applyNumberFormat="1" applyFont="1" applyFill="1" applyBorder="1" applyAlignment="1">
      <alignment horizontal="center" vertical="center" wrapText="1"/>
    </xf>
    <xf numFmtId="1" fontId="31" fillId="2" borderId="52" xfId="3" applyNumberFormat="1" applyFont="1" applyFill="1" applyBorder="1" applyAlignment="1" applyProtection="1">
      <alignment horizontal="center" vertical="center" wrapText="1"/>
      <protection locked="0"/>
    </xf>
    <xf numFmtId="2" fontId="5" fillId="2" borderId="53" xfId="3" applyNumberFormat="1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 applyProtection="1">
      <alignment horizontal="center" vertical="center" wrapText="1"/>
      <protection locked="0"/>
    </xf>
    <xf numFmtId="166" fontId="5" fillId="2" borderId="34" xfId="3" applyNumberFormat="1" applyFont="1" applyFill="1" applyBorder="1" applyAlignment="1" applyProtection="1">
      <alignment horizontal="center" vertical="center" wrapText="1"/>
      <protection locked="0"/>
    </xf>
    <xf numFmtId="166" fontId="5" fillId="2" borderId="15" xfId="3" applyNumberFormat="1" applyFont="1" applyFill="1" applyBorder="1" applyAlignment="1" applyProtection="1">
      <alignment horizontal="center" vertical="center" wrapText="1"/>
      <protection locked="0"/>
    </xf>
    <xf numFmtId="9" fontId="5" fillId="2" borderId="55" xfId="3" applyFont="1" applyFill="1" applyBorder="1" applyAlignment="1">
      <alignment horizontal="center" vertical="center" wrapText="1"/>
    </xf>
    <xf numFmtId="0" fontId="5" fillId="5" borderId="11" xfId="0" applyFont="1" applyFill="1" applyBorder="1" applyAlignment="1" applyProtection="1">
      <alignment horizontal="left" vertical="top" wrapText="1"/>
      <protection locked="0"/>
    </xf>
    <xf numFmtId="0" fontId="5" fillId="5" borderId="8" xfId="0" applyFont="1" applyFill="1" applyBorder="1" applyAlignment="1" applyProtection="1">
      <alignment horizontal="left" vertical="top" wrapText="1"/>
      <protection locked="0"/>
    </xf>
    <xf numFmtId="0" fontId="5" fillId="5" borderId="3" xfId="0" applyFont="1" applyFill="1" applyBorder="1" applyAlignment="1" applyProtection="1">
      <alignment horizontal="left" vertical="top" wrapText="1"/>
      <protection locked="0"/>
    </xf>
  </cellXfs>
  <cellStyles count="45">
    <cellStyle name="Bom" xfId="1" builtinId="26"/>
    <cellStyle name="Moeda 2" xfId="6"/>
    <cellStyle name="Moeda 2 2" xfId="29"/>
    <cellStyle name="Moeda 2 3" xfId="38"/>
    <cellStyle name="Moeda 2 4" xfId="25"/>
    <cellStyle name="Moeda 2 5" xfId="20"/>
    <cellStyle name="Moeda 3" xfId="18"/>
    <cellStyle name="Moeda 4" xfId="43"/>
    <cellStyle name="Neutra" xfId="2" builtinId="28"/>
    <cellStyle name="Normal" xfId="0" builtinId="0"/>
    <cellStyle name="Normal 2" xfId="5"/>
    <cellStyle name="Normal 2 2" xfId="14"/>
    <cellStyle name="Normal 2 2 2" xfId="35"/>
    <cellStyle name="Normal 2 3" xfId="37"/>
    <cellStyle name="Normal 3" xfId="8"/>
    <cellStyle name="Normal 3 2" xfId="9"/>
    <cellStyle name="Normal 3 2 2" xfId="13"/>
    <cellStyle name="Normal 3 3" xfId="33"/>
    <cellStyle name="Normal 4" xfId="19"/>
    <cellStyle name="Normal 5" xfId="44"/>
    <cellStyle name="Porcentagem" xfId="3" builtinId="5"/>
    <cellStyle name="Porcentagem 2" xfId="12"/>
    <cellStyle name="Separador de milhares 2" xfId="15"/>
    <cellStyle name="Texto Explicativo 2" xfId="24"/>
    <cellStyle name="Vírgula" xfId="4" builtinId="3"/>
    <cellStyle name="Vírgula 2" xfId="7"/>
    <cellStyle name="Vírgula 2 2" xfId="11"/>
    <cellStyle name="Vírgula 2 2 2" xfId="32"/>
    <cellStyle name="Vírgula 2 2 3" xfId="41"/>
    <cellStyle name="Vírgula 2 2 4" xfId="28"/>
    <cellStyle name="Vírgula 2 2 5" xfId="23"/>
    <cellStyle name="Vírgula 2 3" xfId="34"/>
    <cellStyle name="Vírgula 2 4" xfId="30"/>
    <cellStyle name="Vírgula 2 5" xfId="39"/>
    <cellStyle name="Vírgula 2 6" xfId="26"/>
    <cellStyle name="Vírgula 2 7" xfId="21"/>
    <cellStyle name="Vírgula 2 8" xfId="17"/>
    <cellStyle name="Vírgula 2 8 2" xfId="42"/>
    <cellStyle name="Vírgula 3" xfId="16"/>
    <cellStyle name="Vírgula 4" xfId="10"/>
    <cellStyle name="Vírgula 4 2" xfId="36"/>
    <cellStyle name="Vírgula 4 3" xfId="31"/>
    <cellStyle name="Vírgula 4 4" xfId="40"/>
    <cellStyle name="Vírgula 4 5" xfId="27"/>
    <cellStyle name="Vírgula 4 6" xfId="22"/>
  </cellStyles>
  <dxfs count="1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600"/>
      </font>
      <fill>
        <patternFill>
          <bgColor rgb="FF00660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ont>
        <color rgb="FF006600"/>
      </font>
      <fill>
        <patternFill>
          <bgColor rgb="FF00660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2A5664"/>
      <color rgb="FFE4F0F0"/>
      <color rgb="FF006871"/>
      <color rgb="FF5E9AA6"/>
      <color rgb="FF5E9AC4"/>
      <color rgb="FFDEEBF6"/>
      <color rgb="FFD1E3F3"/>
      <color rgb="FFFFFADE"/>
      <color rgb="FFFFF7E1"/>
      <color rgb="FFFFF5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9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externalLink" Target="externalLinks/externalLink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22860</xdr:rowOff>
        </xdr:from>
        <xdr:to>
          <xdr:col>10</xdr:col>
          <xdr:colOff>579120</xdr:colOff>
          <xdr:row>2</xdr:row>
          <xdr:rowOff>4800600</xdr:rowOff>
        </xdr:to>
        <xdr:sp macro="" textlink="">
          <xdr:nvSpPr>
            <xdr:cNvPr id="40961" name="Object 1" hidden="1">
              <a:extLst>
                <a:ext uri="{63B3BB69-23CF-44E3-9099-C40C66FF867C}">
                  <a14:compatExt spid="_x0000_s409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11</xdr:col>
      <xdr:colOff>49357</xdr:colOff>
      <xdr:row>2</xdr:row>
      <xdr:rowOff>2329296</xdr:rowOff>
    </xdr:from>
    <xdr:to>
      <xdr:col>12</xdr:col>
      <xdr:colOff>68516</xdr:colOff>
      <xdr:row>2</xdr:row>
      <xdr:rowOff>2750128</xdr:rowOff>
    </xdr:to>
    <xdr:sp macro="" textlink="">
      <xdr:nvSpPr>
        <xdr:cNvPr id="3" name="Seta para a direita 7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6716857" y="3186546"/>
          <a:ext cx="625295" cy="420832"/>
        </a:xfrm>
        <a:prstGeom prst="rightArrow">
          <a:avLst/>
        </a:prstGeom>
        <a:solidFill>
          <a:srgbClr val="2A566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139158</xdr:colOff>
      <xdr:row>2</xdr:row>
      <xdr:rowOff>1924053</xdr:rowOff>
    </xdr:from>
    <xdr:to>
      <xdr:col>14</xdr:col>
      <xdr:colOff>582083</xdr:colOff>
      <xdr:row>2</xdr:row>
      <xdr:rowOff>3148447</xdr:rowOff>
    </xdr:to>
    <xdr:sp macro="" textlink="">
      <xdr:nvSpPr>
        <xdr:cNvPr id="4" name="Retângulo de cantos arredondados 9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7505158" y="2781303"/>
          <a:ext cx="1670592" cy="1224394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Clicar duas vezes no objetivo estratégico,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na 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figura ao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lado,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 inclua os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objetivos locais, no máximo três.</a:t>
          </a:r>
          <a:endParaRPr lang="pt-BR" sz="9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6445</xdr:rowOff>
    </xdr:from>
    <xdr:to>
      <xdr:col>10</xdr:col>
      <xdr:colOff>569026</xdr:colOff>
      <xdr:row>4</xdr:row>
      <xdr:rowOff>3801533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4195"/>
          <a:ext cx="6707359" cy="3795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108907</xdr:colOff>
      <xdr:row>4</xdr:row>
      <xdr:rowOff>1547898</xdr:rowOff>
    </xdr:from>
    <xdr:to>
      <xdr:col>14</xdr:col>
      <xdr:colOff>275166</xdr:colOff>
      <xdr:row>4</xdr:row>
      <xdr:rowOff>2691725</xdr:rowOff>
    </xdr:to>
    <xdr:sp macro="" textlink="">
      <xdr:nvSpPr>
        <xdr:cNvPr id="6" name="Retângulo de cantos arredondados 10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>
        <a:xfrm>
          <a:off x="7474907" y="7421648"/>
          <a:ext cx="1393926" cy="1143827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Facultativo a utilização dos ODS na Programação 2022.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38774</xdr:colOff>
      <xdr:row>4</xdr:row>
      <xdr:rowOff>1821296</xdr:rowOff>
    </xdr:from>
    <xdr:to>
      <xdr:col>12</xdr:col>
      <xdr:colOff>57933</xdr:colOff>
      <xdr:row>4</xdr:row>
      <xdr:rowOff>2242128</xdr:rowOff>
    </xdr:to>
    <xdr:sp macro="" textlink="">
      <xdr:nvSpPr>
        <xdr:cNvPr id="8" name="Seta para a direita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>
          <a:off x="6790941" y="7695046"/>
          <a:ext cx="632992" cy="420832"/>
        </a:xfrm>
        <a:prstGeom prst="rightArrow">
          <a:avLst/>
        </a:prstGeom>
        <a:solidFill>
          <a:srgbClr val="2A566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03\fs-caubr\Users\patriciagomo\Desktop\Tabelas%20Diretrizes%20-%20Reprog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riciagomo\Desktop\Reprograma&#231;&#227;o%202020\Tabelas%20Diretrizes%20-%20Reprog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riciagomo\Desktop\Tabelas%20Diretrizes%20-%20Reprog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ESSORIA%20DE%20PLANEJAMENTO%20E%20GESTAO%20DA%20ESTRATEGIA\2019\Reprograma&#231;&#227;o%202019\Diretrizes\Modelos%20Plano%20de%20A&#231;&#227;o%20Reprograma&#231;&#227;o\Modelo%20do%20Plano%20de%20A&#231;&#227;o%20Reprograma&#231;&#227;o%202019_CAU_UF_ajustad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%204.%20Descritivo%20(com%20a&#231;&#245;es%20estrat&#233;gicas)%20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ESSORIA%20DE%20PLANEJAMENTO%20E%20GESTAO%20DA%20ESTRATEGIA\2022\Programa&#231;&#227;o%202022\Diretrizes%202022\MINUTA%20-%20Tabelas%20Diretrizes%20Programa&#231;&#227;o%202022%20_Final3_20.09.20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riciagomo\Desktop\MINUTA%20-%20Tabelas%20Diretrizes%20Programa&#231;&#227;o%202022%20_Final3_20.09.202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ESSORIA%20DE%20PLANEJAMENTO%20E%20GESTAO%20DA%20ESTRATEGIA\2021\Reprograma&#231;&#227;o%202021\An&#225;lise%20das%20Presta&#231;&#245;es%20de%20Contas%20CAU%20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GERGER-Plano-de-Acao-2022-V11WG%20conferencia%20V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"/>
      <sheetName val="QUADRO 2"/>
      <sheetName val="QUADRO 3"/>
      <sheetName val="QUADRO 4"/>
      <sheetName val="Simulação de %"/>
      <sheetName val="Estudos - Receita"/>
      <sheetName val="ANEXO I"/>
      <sheetName val="ANEXO II"/>
      <sheetName val="ANEXO III e Anexo IX"/>
      <sheetName val="Estudos - Quant. PF"/>
      <sheetName val="NOVOS EGRESSOS"/>
      <sheetName val="Estudos-Percentuais"/>
      <sheetName val="ANEXO IV"/>
      <sheetName val="ANEXO V"/>
      <sheetName val="Estudos - Quant. PJ"/>
      <sheetName val="ANEXO VI"/>
      <sheetName val="ANEXO VII"/>
      <sheetName val="ANEXO VIII"/>
      <sheetName val="ANEXO X Aporte FA"/>
      <sheetName val="ANEXO X.I Repasse FA"/>
      <sheetName val="ANEXO XI CSC Total"/>
      <sheetName val="ANEXO XI.I CSC RIA"/>
      <sheetName val="ANEXO XI.II CSC Essencial"/>
      <sheetName val="ANEXO XI.III - RIA Enc. dContas"/>
      <sheetName val="ANEXO XII"/>
      <sheetName val="XIII. TAXAS BANCÁRIAS"/>
      <sheetName val="NOVO SISCAF"/>
      <sheetName val="Gráficos e Tabelas"/>
      <sheetName val="Resumo - Ajuste pelos UFs"/>
      <sheetName val="Resumo"/>
      <sheetName val="QUADRO_1"/>
      <sheetName val="QUADRO_2"/>
      <sheetName val="QUADRO_3"/>
      <sheetName val="QUADRO_4"/>
      <sheetName val="Simulação_de_%"/>
      <sheetName val="Estudos_-_Receita"/>
      <sheetName val="ANEXO_I"/>
      <sheetName val="ANEXO_II"/>
      <sheetName val="ANEXO_III_e_Anexo_IX"/>
      <sheetName val="Estudos_-_Quant__PF"/>
      <sheetName val="NOVOS_EGRESSOS"/>
      <sheetName val="ANEXO_IV"/>
      <sheetName val="ANEXO_V"/>
      <sheetName val="Estudos_-_Quant__PJ"/>
      <sheetName val="ANEXO_VI"/>
      <sheetName val="ANEXO_VII"/>
      <sheetName val="ANEXO_VIII"/>
      <sheetName val="ANEXO_X_Aporte_FA"/>
      <sheetName val="ANEXO_X_I_Repasse_FA"/>
      <sheetName val="ANEXO_XI_CSC_Total"/>
      <sheetName val="ANEXO_XI_I_CSC_RIA"/>
      <sheetName val="ANEXO_XI_II_CSC_Essencial"/>
      <sheetName val="ANEXO_XI_III_-_RIA_Enc__dContas"/>
      <sheetName val="ANEXO_XII"/>
      <sheetName val="XIII__TAXAS_BANCÁRIAS"/>
      <sheetName val="NOVO_SISCAF"/>
      <sheetName val="Gráficos_e_Tabelas"/>
      <sheetName val="Resumo_-_Ajuste_pelos_UFs"/>
      <sheetName val="Resumo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XFB1">
            <v>0.05</v>
          </cell>
        </row>
        <row r="2">
          <cell r="XFB2">
            <v>0.1</v>
          </cell>
        </row>
        <row r="3">
          <cell r="XFB3">
            <v>0.15</v>
          </cell>
        </row>
        <row r="4">
          <cell r="XFB4">
            <v>0.2</v>
          </cell>
        </row>
        <row r="5">
          <cell r="XFB5">
            <v>0.25</v>
          </cell>
        </row>
        <row r="6">
          <cell r="XFB6">
            <v>0.3</v>
          </cell>
        </row>
        <row r="7">
          <cell r="XFB7">
            <v>0.35</v>
          </cell>
        </row>
        <row r="8">
          <cell r="XFB8">
            <v>0.4</v>
          </cell>
        </row>
        <row r="9">
          <cell r="XFB9">
            <v>0.45</v>
          </cell>
        </row>
        <row r="10">
          <cell r="XFB10">
            <v>0.5</v>
          </cell>
        </row>
        <row r="11">
          <cell r="XFB11">
            <v>0.55000000000000004</v>
          </cell>
        </row>
        <row r="12">
          <cell r="XFB12">
            <v>0.6</v>
          </cell>
        </row>
        <row r="13">
          <cell r="XFB13">
            <v>0.65</v>
          </cell>
        </row>
        <row r="14">
          <cell r="XFB14">
            <v>0.7</v>
          </cell>
        </row>
        <row r="15">
          <cell r="XFB15">
            <v>0.75</v>
          </cell>
        </row>
        <row r="16">
          <cell r="XFB16">
            <v>0.8</v>
          </cell>
        </row>
        <row r="17">
          <cell r="XFB17">
            <v>0.85</v>
          </cell>
        </row>
        <row r="18">
          <cell r="XFB18">
            <v>0.9</v>
          </cell>
        </row>
        <row r="19">
          <cell r="XFB19">
            <v>0.95</v>
          </cell>
        </row>
        <row r="20">
          <cell r="XFB20">
            <v>1</v>
          </cell>
        </row>
      </sheetData>
      <sheetData sheetId="6">
        <row r="5">
          <cell r="C5">
            <v>586</v>
          </cell>
        </row>
      </sheetData>
      <sheetData sheetId="7" refreshError="1"/>
      <sheetData sheetId="8">
        <row r="6">
          <cell r="AX6">
            <v>67439.888000000006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J2" t="str">
            <v>PJ até 2 anos com sócio AU formado até 2 anos</v>
          </cell>
          <cell r="L2" t="str">
            <v>Relatório 14</v>
          </cell>
        </row>
        <row r="4">
          <cell r="L4" t="str">
            <v>Situação de Registro Ativo</v>
          </cell>
          <cell r="M4" t="str">
            <v>Inativos</v>
          </cell>
          <cell r="N4" t="str">
            <v>Pagantes</v>
          </cell>
          <cell r="O4" t="str">
            <v>0/1</v>
          </cell>
        </row>
        <row r="5">
          <cell r="N5">
            <v>32</v>
          </cell>
          <cell r="O5">
            <v>7</v>
          </cell>
        </row>
        <row r="6">
          <cell r="N6">
            <v>63</v>
          </cell>
          <cell r="O6">
            <v>12</v>
          </cell>
        </row>
        <row r="7">
          <cell r="N7">
            <v>37</v>
          </cell>
          <cell r="O7">
            <v>10</v>
          </cell>
        </row>
        <row r="8">
          <cell r="N8">
            <v>89</v>
          </cell>
          <cell r="O8">
            <v>12</v>
          </cell>
        </row>
        <row r="9">
          <cell r="N9">
            <v>56</v>
          </cell>
          <cell r="O9">
            <v>13</v>
          </cell>
        </row>
        <row r="10">
          <cell r="N10">
            <v>14</v>
          </cell>
          <cell r="O10">
            <v>0</v>
          </cell>
        </row>
        <row r="11">
          <cell r="N11">
            <v>41</v>
          </cell>
          <cell r="O11">
            <v>5</v>
          </cell>
        </row>
        <row r="12">
          <cell r="N12">
            <v>332</v>
          </cell>
          <cell r="O12">
            <v>59</v>
          </cell>
        </row>
        <row r="13">
          <cell r="N13">
            <v>41</v>
          </cell>
          <cell r="O13">
            <v>5</v>
          </cell>
        </row>
        <row r="14">
          <cell r="N14">
            <v>283</v>
          </cell>
          <cell r="O14">
            <v>28</v>
          </cell>
        </row>
        <row r="15">
          <cell r="N15">
            <v>139</v>
          </cell>
          <cell r="O15">
            <v>7</v>
          </cell>
        </row>
        <row r="16">
          <cell r="N16">
            <v>49</v>
          </cell>
          <cell r="O16">
            <v>5</v>
          </cell>
        </row>
        <row r="17">
          <cell r="N17">
            <v>87</v>
          </cell>
          <cell r="O17">
            <v>11</v>
          </cell>
        </row>
        <row r="18">
          <cell r="N18">
            <v>205</v>
          </cell>
          <cell r="O18">
            <v>19</v>
          </cell>
        </row>
        <row r="19">
          <cell r="N19">
            <v>70</v>
          </cell>
          <cell r="O19">
            <v>13</v>
          </cell>
        </row>
        <row r="20">
          <cell r="N20">
            <v>72</v>
          </cell>
          <cell r="O20">
            <v>6</v>
          </cell>
        </row>
        <row r="21">
          <cell r="N21">
            <v>57</v>
          </cell>
          <cell r="O21">
            <v>6</v>
          </cell>
        </row>
        <row r="22">
          <cell r="N22">
            <v>1003</v>
          </cell>
          <cell r="O22">
            <v>100</v>
          </cell>
        </row>
        <row r="23">
          <cell r="N23">
            <v>222</v>
          </cell>
          <cell r="O23">
            <v>27</v>
          </cell>
        </row>
        <row r="24">
          <cell r="N24">
            <v>212</v>
          </cell>
          <cell r="O24">
            <v>47</v>
          </cell>
        </row>
        <row r="25">
          <cell r="N25">
            <v>182</v>
          </cell>
          <cell r="O25">
            <v>26</v>
          </cell>
        </row>
        <row r="26">
          <cell r="N26">
            <v>172</v>
          </cell>
          <cell r="O26">
            <v>22</v>
          </cell>
        </row>
        <row r="27">
          <cell r="N27">
            <v>788</v>
          </cell>
          <cell r="O27">
            <v>122</v>
          </cell>
        </row>
        <row r="28">
          <cell r="N28">
            <v>225</v>
          </cell>
          <cell r="O28">
            <v>13</v>
          </cell>
        </row>
        <row r="29">
          <cell r="N29">
            <v>738</v>
          </cell>
          <cell r="O29">
            <v>69</v>
          </cell>
        </row>
        <row r="30">
          <cell r="N30">
            <v>1078</v>
          </cell>
          <cell r="O30">
            <v>82</v>
          </cell>
        </row>
        <row r="31">
          <cell r="N31">
            <v>3458</v>
          </cell>
          <cell r="O31">
            <v>154</v>
          </cell>
        </row>
        <row r="32">
          <cell r="N32">
            <v>5499</v>
          </cell>
          <cell r="O32">
            <v>318</v>
          </cell>
        </row>
        <row r="33">
          <cell r="N33">
            <v>1058</v>
          </cell>
          <cell r="O33">
            <v>125</v>
          </cell>
        </row>
        <row r="34">
          <cell r="N34">
            <v>949</v>
          </cell>
          <cell r="O34">
            <v>87</v>
          </cell>
        </row>
        <row r="35">
          <cell r="N35">
            <v>649</v>
          </cell>
          <cell r="O35">
            <v>70</v>
          </cell>
        </row>
        <row r="36">
          <cell r="N36">
            <v>2656</v>
          </cell>
          <cell r="O36">
            <v>282</v>
          </cell>
        </row>
        <row r="37">
          <cell r="N37">
            <v>10278</v>
          </cell>
          <cell r="O37">
            <v>881</v>
          </cell>
        </row>
      </sheetData>
      <sheetData sheetId="15" refreshError="1"/>
      <sheetData sheetId="16" refreshError="1"/>
      <sheetData sheetId="17" refreshError="1"/>
      <sheetData sheetId="18">
        <row r="3">
          <cell r="A3" t="str">
            <v>SP</v>
          </cell>
        </row>
      </sheetData>
      <sheetData sheetId="19">
        <row r="30">
          <cell r="A30" t="str">
            <v>RR</v>
          </cell>
        </row>
      </sheetData>
      <sheetData sheetId="20">
        <row r="3">
          <cell r="D3">
            <v>2726.8547648527197</v>
          </cell>
        </row>
      </sheetData>
      <sheetData sheetId="21" refreshError="1"/>
      <sheetData sheetId="22" refreshError="1"/>
      <sheetData sheetId="23">
        <row r="2">
          <cell r="A2" t="str">
            <v>AC</v>
          </cell>
        </row>
      </sheetData>
      <sheetData sheetId="24">
        <row r="10">
          <cell r="A10" t="str">
            <v>RR</v>
          </cell>
        </row>
      </sheetData>
      <sheetData sheetId="25">
        <row r="3">
          <cell r="A3" t="str">
            <v>AC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2">
          <cell r="J2" t="str">
            <v>PJ até 2 anos com sócio AU formado até 2 anos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"/>
      <sheetName val="QUADRO 2"/>
      <sheetName val="QUADRO 3"/>
      <sheetName val="QUADRO 4"/>
      <sheetName val="Simulação de %"/>
      <sheetName val="Estudos - Receita"/>
      <sheetName val="ANEXO I"/>
      <sheetName val="ANEXO II"/>
      <sheetName val="ANEXO III e Anexo IX"/>
      <sheetName val="Estudos - Quant. PF"/>
      <sheetName val="NOVOS EGRESSOS"/>
      <sheetName val="Estudos-Percentuais"/>
      <sheetName val="ANEXO IV"/>
      <sheetName val="ANEXO V"/>
      <sheetName val="Estudos - Quant. PJ"/>
      <sheetName val="ANEXO VI"/>
      <sheetName val="ANEXO VII"/>
      <sheetName val="ANEXO VIII"/>
      <sheetName val="ANEXO X Aporte FA"/>
      <sheetName val="ANEXO X.I Repasse FA"/>
      <sheetName val="ANEXO XI CSC Total"/>
      <sheetName val="ANEXO XI.I CSC RIA"/>
      <sheetName val="ANEXO XI.II CSC Essencial"/>
      <sheetName val="ANEXO XI.III - RIA Enc. dContas"/>
      <sheetName val="ANEXO XII"/>
      <sheetName val="XIII. TAXAS BANCÁRIAS"/>
      <sheetName val="NOVO SISCAF"/>
      <sheetName val="Gráficos e Tabelas"/>
      <sheetName val="Resumo - Ajuste pelos UFs"/>
      <sheetName val="Resumo"/>
      <sheetName val="Validação de d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XFB1">
            <v>0.05</v>
          </cell>
        </row>
        <row r="2">
          <cell r="XFB2">
            <v>0.1</v>
          </cell>
        </row>
        <row r="3">
          <cell r="XFB3">
            <v>0.15</v>
          </cell>
        </row>
        <row r="4">
          <cell r="XFB4">
            <v>0.2</v>
          </cell>
        </row>
        <row r="5">
          <cell r="XFB5">
            <v>0.25</v>
          </cell>
        </row>
        <row r="6">
          <cell r="XFB6">
            <v>0.3</v>
          </cell>
        </row>
        <row r="7">
          <cell r="XFB7">
            <v>0.35</v>
          </cell>
        </row>
        <row r="8">
          <cell r="XFB8">
            <v>0.4</v>
          </cell>
        </row>
        <row r="9">
          <cell r="XFB9">
            <v>0.45</v>
          </cell>
        </row>
        <row r="10">
          <cell r="XFB10">
            <v>0.5</v>
          </cell>
        </row>
        <row r="11">
          <cell r="XFB11">
            <v>0.55000000000000004</v>
          </cell>
        </row>
        <row r="12">
          <cell r="XFB12">
            <v>0.6</v>
          </cell>
        </row>
        <row r="13">
          <cell r="XFB13">
            <v>0.65</v>
          </cell>
        </row>
        <row r="14">
          <cell r="XFB14">
            <v>0.7</v>
          </cell>
        </row>
        <row r="15">
          <cell r="XFB15">
            <v>0.75</v>
          </cell>
        </row>
        <row r="16">
          <cell r="XFB16">
            <v>0.8</v>
          </cell>
        </row>
        <row r="17">
          <cell r="XFB17">
            <v>0.85</v>
          </cell>
        </row>
        <row r="18">
          <cell r="XFB18">
            <v>0.9</v>
          </cell>
        </row>
        <row r="19">
          <cell r="XFB19">
            <v>0.95</v>
          </cell>
        </row>
        <row r="20">
          <cell r="XFB20">
            <v>1</v>
          </cell>
        </row>
      </sheetData>
      <sheetData sheetId="6">
        <row r="5">
          <cell r="C5">
            <v>586</v>
          </cell>
        </row>
      </sheetData>
      <sheetData sheetId="7" refreshError="1"/>
      <sheetData sheetId="8">
        <row r="6">
          <cell r="AX6">
            <v>67439.888000000006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J2" t="str">
            <v>PJ até 2 anos com sócio AU formado até 2 anos</v>
          </cell>
          <cell r="L2" t="str">
            <v>Relatório 14</v>
          </cell>
          <cell r="M2">
            <v>0</v>
          </cell>
          <cell r="N2">
            <v>0</v>
          </cell>
          <cell r="O2">
            <v>0</v>
          </cell>
        </row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L4" t="str">
            <v>Situação de Registro Ativo</v>
          </cell>
          <cell r="M4" t="str">
            <v>Inativos</v>
          </cell>
          <cell r="N4" t="str">
            <v>Pagantes</v>
          </cell>
          <cell r="O4" t="str">
            <v>0/1</v>
          </cell>
        </row>
        <row r="5">
          <cell r="N5">
            <v>32</v>
          </cell>
          <cell r="O5">
            <v>7</v>
          </cell>
        </row>
        <row r="6">
          <cell r="N6">
            <v>63</v>
          </cell>
          <cell r="O6">
            <v>12</v>
          </cell>
        </row>
        <row r="7">
          <cell r="N7">
            <v>37</v>
          </cell>
          <cell r="O7">
            <v>10</v>
          </cell>
        </row>
        <row r="8">
          <cell r="N8">
            <v>89</v>
          </cell>
          <cell r="O8">
            <v>12</v>
          </cell>
        </row>
        <row r="9">
          <cell r="N9">
            <v>56</v>
          </cell>
          <cell r="O9">
            <v>13</v>
          </cell>
        </row>
        <row r="10">
          <cell r="N10">
            <v>14</v>
          </cell>
          <cell r="O10">
            <v>0</v>
          </cell>
        </row>
        <row r="11">
          <cell r="N11">
            <v>41</v>
          </cell>
          <cell r="O11">
            <v>5</v>
          </cell>
        </row>
        <row r="12">
          <cell r="N12">
            <v>332</v>
          </cell>
          <cell r="O12">
            <v>59</v>
          </cell>
        </row>
        <row r="13">
          <cell r="N13">
            <v>41</v>
          </cell>
          <cell r="O13">
            <v>5</v>
          </cell>
        </row>
        <row r="14">
          <cell r="N14">
            <v>283</v>
          </cell>
          <cell r="O14">
            <v>28</v>
          </cell>
        </row>
        <row r="15">
          <cell r="N15">
            <v>139</v>
          </cell>
          <cell r="O15">
            <v>7</v>
          </cell>
        </row>
        <row r="16">
          <cell r="N16">
            <v>49</v>
          </cell>
          <cell r="O16">
            <v>5</v>
          </cell>
        </row>
        <row r="17">
          <cell r="N17">
            <v>87</v>
          </cell>
          <cell r="O17">
            <v>11</v>
          </cell>
        </row>
        <row r="18">
          <cell r="N18">
            <v>205</v>
          </cell>
          <cell r="O18">
            <v>19</v>
          </cell>
        </row>
        <row r="19">
          <cell r="N19">
            <v>70</v>
          </cell>
          <cell r="O19">
            <v>13</v>
          </cell>
        </row>
        <row r="20">
          <cell r="N20">
            <v>72</v>
          </cell>
          <cell r="O20">
            <v>6</v>
          </cell>
        </row>
        <row r="21">
          <cell r="N21">
            <v>57</v>
          </cell>
          <cell r="O21">
            <v>6</v>
          </cell>
        </row>
        <row r="22">
          <cell r="N22">
            <v>1003</v>
          </cell>
          <cell r="O22">
            <v>100</v>
          </cell>
        </row>
        <row r="23">
          <cell r="N23">
            <v>222</v>
          </cell>
          <cell r="O23">
            <v>27</v>
          </cell>
        </row>
        <row r="24">
          <cell r="N24">
            <v>212</v>
          </cell>
          <cell r="O24">
            <v>47</v>
          </cell>
        </row>
        <row r="25">
          <cell r="N25">
            <v>182</v>
          </cell>
          <cell r="O25">
            <v>26</v>
          </cell>
        </row>
        <row r="26">
          <cell r="N26">
            <v>172</v>
          </cell>
          <cell r="O26">
            <v>22</v>
          </cell>
        </row>
        <row r="27">
          <cell r="N27">
            <v>788</v>
          </cell>
          <cell r="O27">
            <v>122</v>
          </cell>
        </row>
        <row r="28">
          <cell r="N28">
            <v>225</v>
          </cell>
          <cell r="O28">
            <v>13</v>
          </cell>
        </row>
        <row r="29">
          <cell r="N29">
            <v>738</v>
          </cell>
          <cell r="O29">
            <v>69</v>
          </cell>
        </row>
        <row r="30">
          <cell r="N30">
            <v>1078</v>
          </cell>
          <cell r="O30">
            <v>82</v>
          </cell>
        </row>
        <row r="31">
          <cell r="N31">
            <v>3458</v>
          </cell>
          <cell r="O31">
            <v>154</v>
          </cell>
        </row>
        <row r="32">
          <cell r="N32">
            <v>5499</v>
          </cell>
          <cell r="O32">
            <v>318</v>
          </cell>
        </row>
        <row r="33">
          <cell r="N33">
            <v>1058</v>
          </cell>
          <cell r="O33">
            <v>125</v>
          </cell>
        </row>
        <row r="34">
          <cell r="N34">
            <v>949</v>
          </cell>
          <cell r="O34">
            <v>87</v>
          </cell>
        </row>
        <row r="35">
          <cell r="N35">
            <v>649</v>
          </cell>
          <cell r="O35">
            <v>70</v>
          </cell>
        </row>
        <row r="36">
          <cell r="N36">
            <v>2656</v>
          </cell>
          <cell r="O36">
            <v>282</v>
          </cell>
        </row>
        <row r="37">
          <cell r="N37">
            <v>10278</v>
          </cell>
          <cell r="O37">
            <v>881</v>
          </cell>
        </row>
      </sheetData>
      <sheetData sheetId="15" refreshError="1"/>
      <sheetData sheetId="16" refreshError="1"/>
      <sheetData sheetId="17" refreshError="1"/>
      <sheetData sheetId="18">
        <row r="3">
          <cell r="A3" t="str">
            <v>SP</v>
          </cell>
        </row>
      </sheetData>
      <sheetData sheetId="19">
        <row r="30">
          <cell r="A30" t="str">
            <v>RR</v>
          </cell>
        </row>
      </sheetData>
      <sheetData sheetId="20">
        <row r="3">
          <cell r="D3">
            <v>2726.8547648527197</v>
          </cell>
        </row>
      </sheetData>
      <sheetData sheetId="21" refreshError="1"/>
      <sheetData sheetId="22" refreshError="1"/>
      <sheetData sheetId="23">
        <row r="2">
          <cell r="A2" t="str">
            <v>AC</v>
          </cell>
        </row>
      </sheetData>
      <sheetData sheetId="24">
        <row r="10">
          <cell r="A10" t="str">
            <v>RR</v>
          </cell>
        </row>
      </sheetData>
      <sheetData sheetId="25">
        <row r="3">
          <cell r="A3" t="str">
            <v>AC</v>
          </cell>
        </row>
      </sheetData>
      <sheetData sheetId="26" refreshError="1"/>
      <sheetData sheetId="27" refreshError="1"/>
      <sheetData sheetId="28" refreshError="1"/>
      <sheetData sheetId="29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"/>
      <sheetName val="QUADRO 2"/>
      <sheetName val="QUADRO 3"/>
      <sheetName val="QUADRO 4"/>
      <sheetName val="Simulação de %"/>
      <sheetName val="Estudos - Receita"/>
      <sheetName val="ANEXO I"/>
      <sheetName val="ANEXO II"/>
      <sheetName val="ANEXO III e Anexo IX"/>
      <sheetName val="Estudos - Quant. PF"/>
      <sheetName val="NOVOS EGRESSOS"/>
      <sheetName val="Estudos-Percentuais"/>
      <sheetName val="ANEXO IV"/>
      <sheetName val="ANEXO V"/>
      <sheetName val="Estudos - Quant. PJ"/>
      <sheetName val="ANEXO VI"/>
      <sheetName val="ANEXO VII"/>
      <sheetName val="ANEXO VIII"/>
      <sheetName val="ANEXO X Aporte FA"/>
      <sheetName val="ANEXO X.I Repasse FA"/>
      <sheetName val="ANEXO XI CSC Total"/>
      <sheetName val="ANEXO XI.I CSC RIA"/>
      <sheetName val="ANEXO XI.II CSC Essencial"/>
      <sheetName val="ANEXO XI.III - RIA Enc. dContas"/>
      <sheetName val="ANEXO XII"/>
      <sheetName val="XIII. TAXAS BANCÁRIAS"/>
      <sheetName val="NOVO SISCAF"/>
      <sheetName val="Gráficos e Tabelas"/>
      <sheetName val="Resumo - Ajuste pelos UFs"/>
      <sheetName val="Resumo"/>
      <sheetName val="QUADRO_1"/>
      <sheetName val="QUADRO_2"/>
      <sheetName val="QUADRO_3"/>
      <sheetName val="QUADRO_4"/>
      <sheetName val="Simulação_de_%"/>
      <sheetName val="Estudos_-_Receita"/>
      <sheetName val="ANEXO_I"/>
      <sheetName val="ANEXO_II"/>
      <sheetName val="ANEXO_III_e_Anexo_IX"/>
      <sheetName val="Estudos_-_Quant__PF"/>
      <sheetName val="NOVOS_EGRESSOS"/>
      <sheetName val="ANEXO_IV"/>
      <sheetName val="ANEXO_V"/>
      <sheetName val="Estudos_-_Quant__PJ"/>
      <sheetName val="ANEXO_VI"/>
      <sheetName val="ANEXO_VII"/>
      <sheetName val="ANEXO_VIII"/>
      <sheetName val="ANEXO_X_Aporte_FA"/>
      <sheetName val="ANEXO_X_I_Repasse_FA"/>
      <sheetName val="ANEXO_XI_CSC_Total"/>
      <sheetName val="ANEXO_XI_I_CSC_RIA"/>
      <sheetName val="ANEXO_XI_II_CSC_Essencial"/>
      <sheetName val="ANEXO_XI_III_-_RIA_Enc__dContas"/>
      <sheetName val="ANEXO_XII"/>
      <sheetName val="XIII__TAXAS_BANCÁRIAS"/>
      <sheetName val="NOVO_SISCAF"/>
      <sheetName val="Gráficos_e_Tabelas"/>
      <sheetName val="Resumo_-_Ajuste_pelos_UFs"/>
      <sheetName val="Resumo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XFB1">
            <v>0.05</v>
          </cell>
        </row>
        <row r="2">
          <cell r="XFB2">
            <v>0.1</v>
          </cell>
        </row>
        <row r="3">
          <cell r="XFB3">
            <v>0.15</v>
          </cell>
        </row>
        <row r="4">
          <cell r="XFB4">
            <v>0.2</v>
          </cell>
        </row>
        <row r="5">
          <cell r="XFB5">
            <v>0.25</v>
          </cell>
        </row>
        <row r="6">
          <cell r="XFB6">
            <v>0.3</v>
          </cell>
        </row>
        <row r="7">
          <cell r="XFB7">
            <v>0.35</v>
          </cell>
        </row>
        <row r="8">
          <cell r="XFB8">
            <v>0.4</v>
          </cell>
        </row>
        <row r="9">
          <cell r="XFB9">
            <v>0.45</v>
          </cell>
        </row>
        <row r="10">
          <cell r="XFB10">
            <v>0.5</v>
          </cell>
        </row>
        <row r="11">
          <cell r="XFB11">
            <v>0.55000000000000004</v>
          </cell>
        </row>
        <row r="12">
          <cell r="XFB12">
            <v>0.6</v>
          </cell>
        </row>
        <row r="13">
          <cell r="XFB13">
            <v>0.65</v>
          </cell>
        </row>
        <row r="14">
          <cell r="XFB14">
            <v>0.7</v>
          </cell>
        </row>
        <row r="15">
          <cell r="XFB15">
            <v>0.75</v>
          </cell>
        </row>
        <row r="16">
          <cell r="XFB16">
            <v>0.8</v>
          </cell>
        </row>
        <row r="17">
          <cell r="XFB17">
            <v>0.85</v>
          </cell>
        </row>
        <row r="18">
          <cell r="XFB18">
            <v>0.9</v>
          </cell>
        </row>
        <row r="19">
          <cell r="XFB19">
            <v>0.95</v>
          </cell>
        </row>
        <row r="20">
          <cell r="XFB20">
            <v>1</v>
          </cell>
        </row>
      </sheetData>
      <sheetData sheetId="6">
        <row r="5">
          <cell r="C5">
            <v>586</v>
          </cell>
        </row>
      </sheetData>
      <sheetData sheetId="7" refreshError="1"/>
      <sheetData sheetId="8">
        <row r="6">
          <cell r="AX6">
            <v>67439.888000000006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J2" t="str">
            <v>PJ até 2 anos com sócio AU formado até 2 anos</v>
          </cell>
          <cell r="L2" t="str">
            <v>Relatório 14</v>
          </cell>
        </row>
        <row r="4">
          <cell r="L4" t="str">
            <v>Situação de Registro Ativo</v>
          </cell>
          <cell r="M4" t="str">
            <v>Inativos</v>
          </cell>
          <cell r="N4" t="str">
            <v>Pagantes</v>
          </cell>
          <cell r="O4" t="str">
            <v>0/1</v>
          </cell>
        </row>
        <row r="5">
          <cell r="N5">
            <v>32</v>
          </cell>
          <cell r="O5">
            <v>7</v>
          </cell>
        </row>
        <row r="6">
          <cell r="N6">
            <v>63</v>
          </cell>
          <cell r="O6">
            <v>12</v>
          </cell>
        </row>
        <row r="7">
          <cell r="N7">
            <v>37</v>
          </cell>
          <cell r="O7">
            <v>10</v>
          </cell>
        </row>
        <row r="8">
          <cell r="N8">
            <v>89</v>
          </cell>
          <cell r="O8">
            <v>12</v>
          </cell>
        </row>
        <row r="9">
          <cell r="N9">
            <v>56</v>
          </cell>
          <cell r="O9">
            <v>13</v>
          </cell>
        </row>
        <row r="10">
          <cell r="N10">
            <v>14</v>
          </cell>
          <cell r="O10">
            <v>0</v>
          </cell>
        </row>
        <row r="11">
          <cell r="N11">
            <v>41</v>
          </cell>
          <cell r="O11">
            <v>5</v>
          </cell>
        </row>
        <row r="12">
          <cell r="N12">
            <v>332</v>
          </cell>
          <cell r="O12">
            <v>59</v>
          </cell>
        </row>
        <row r="13">
          <cell r="N13">
            <v>41</v>
          </cell>
          <cell r="O13">
            <v>5</v>
          </cell>
        </row>
        <row r="14">
          <cell r="N14">
            <v>283</v>
          </cell>
          <cell r="O14">
            <v>28</v>
          </cell>
        </row>
        <row r="15">
          <cell r="N15">
            <v>139</v>
          </cell>
          <cell r="O15">
            <v>7</v>
          </cell>
        </row>
        <row r="16">
          <cell r="N16">
            <v>49</v>
          </cell>
          <cell r="O16">
            <v>5</v>
          </cell>
        </row>
        <row r="17">
          <cell r="N17">
            <v>87</v>
          </cell>
          <cell r="O17">
            <v>11</v>
          </cell>
        </row>
        <row r="18">
          <cell r="N18">
            <v>205</v>
          </cell>
          <cell r="O18">
            <v>19</v>
          </cell>
        </row>
        <row r="19">
          <cell r="N19">
            <v>70</v>
          </cell>
          <cell r="O19">
            <v>13</v>
          </cell>
        </row>
        <row r="20">
          <cell r="N20">
            <v>72</v>
          </cell>
          <cell r="O20">
            <v>6</v>
          </cell>
        </row>
        <row r="21">
          <cell r="N21">
            <v>57</v>
          </cell>
          <cell r="O21">
            <v>6</v>
          </cell>
        </row>
        <row r="22">
          <cell r="N22">
            <v>1003</v>
          </cell>
          <cell r="O22">
            <v>100</v>
          </cell>
        </row>
        <row r="23">
          <cell r="N23">
            <v>222</v>
          </cell>
          <cell r="O23">
            <v>27</v>
          </cell>
        </row>
        <row r="24">
          <cell r="N24">
            <v>212</v>
          </cell>
          <cell r="O24">
            <v>47</v>
          </cell>
        </row>
        <row r="25">
          <cell r="N25">
            <v>182</v>
          </cell>
          <cell r="O25">
            <v>26</v>
          </cell>
        </row>
        <row r="26">
          <cell r="N26">
            <v>172</v>
          </cell>
          <cell r="O26">
            <v>22</v>
          </cell>
        </row>
        <row r="27">
          <cell r="N27">
            <v>788</v>
          </cell>
          <cell r="O27">
            <v>122</v>
          </cell>
        </row>
        <row r="28">
          <cell r="N28">
            <v>225</v>
          </cell>
          <cell r="O28">
            <v>13</v>
          </cell>
        </row>
        <row r="29">
          <cell r="N29">
            <v>738</v>
          </cell>
          <cell r="O29">
            <v>69</v>
          </cell>
        </row>
        <row r="30">
          <cell r="N30">
            <v>1078</v>
          </cell>
          <cell r="O30">
            <v>82</v>
          </cell>
        </row>
        <row r="31">
          <cell r="N31">
            <v>3458</v>
          </cell>
          <cell r="O31">
            <v>154</v>
          </cell>
        </row>
        <row r="32">
          <cell r="N32">
            <v>5499</v>
          </cell>
          <cell r="O32">
            <v>318</v>
          </cell>
        </row>
        <row r="33">
          <cell r="N33">
            <v>1058</v>
          </cell>
          <cell r="O33">
            <v>125</v>
          </cell>
        </row>
        <row r="34">
          <cell r="N34">
            <v>949</v>
          </cell>
          <cell r="O34">
            <v>87</v>
          </cell>
        </row>
        <row r="35">
          <cell r="N35">
            <v>649</v>
          </cell>
          <cell r="O35">
            <v>70</v>
          </cell>
        </row>
        <row r="36">
          <cell r="N36">
            <v>2656</v>
          </cell>
          <cell r="O36">
            <v>282</v>
          </cell>
        </row>
        <row r="37">
          <cell r="N37">
            <v>10278</v>
          </cell>
          <cell r="O37">
            <v>881</v>
          </cell>
        </row>
      </sheetData>
      <sheetData sheetId="15" refreshError="1"/>
      <sheetData sheetId="16" refreshError="1"/>
      <sheetData sheetId="17" refreshError="1"/>
      <sheetData sheetId="18">
        <row r="3">
          <cell r="A3" t="str">
            <v>SP</v>
          </cell>
        </row>
      </sheetData>
      <sheetData sheetId="19">
        <row r="30">
          <cell r="A30" t="str">
            <v>RR</v>
          </cell>
        </row>
      </sheetData>
      <sheetData sheetId="20">
        <row r="3">
          <cell r="D3">
            <v>2726.8547648527197</v>
          </cell>
        </row>
      </sheetData>
      <sheetData sheetId="21" refreshError="1"/>
      <sheetData sheetId="22" refreshError="1"/>
      <sheetData sheetId="23">
        <row r="2">
          <cell r="A2" t="str">
            <v>AC</v>
          </cell>
        </row>
      </sheetData>
      <sheetData sheetId="24">
        <row r="10">
          <cell r="A10" t="str">
            <v>RR</v>
          </cell>
        </row>
      </sheetData>
      <sheetData sheetId="25">
        <row r="3">
          <cell r="A3" t="str">
            <v>AC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2">
          <cell r="J2" t="str">
            <v>PJ até 2 anos com sócio AU formado até 2 anos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 Iniciais"/>
      <sheetName val="Mapa Estratégico"/>
      <sheetName val="Matriz Objetivos x Projetos"/>
      <sheetName val="Indicadores e Metas1"/>
      <sheetName val="Indicadores e Metas"/>
      <sheetName val="Quadro Geral"/>
      <sheetName val="Anexo_1.1_Limites Estratégicos"/>
      <sheetName val="Anexo_1.2_Usos e Fontes"/>
      <sheetName val="Anexo_1.3_ Elemento de Despesas"/>
      <sheetName val="Anexo_1.4_Dados"/>
      <sheetName val="2019"/>
      <sheetName val="Anexo 1.4-Quadro Descritivo"/>
      <sheetName val="Plan1"/>
    </sheetNames>
    <sheetDataSet>
      <sheetData sheetId="0"/>
      <sheetData sheetId="1"/>
      <sheetData sheetId="2">
        <row r="7">
          <cell r="A7" t="str">
            <v xml:space="preserve">CAU/UF:  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ultativo - Anexo 4 "/>
      <sheetName val="AÇÕES ESTRATÉGICAS - DESCRIÇÃO 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ras de Descontos - PF e PJ"/>
      <sheetName val="PF e PJ - com desconto"/>
      <sheetName val="Quadro 1 - AÇÕES ESTRATÉGICAS"/>
      <sheetName val="Quadro 2"/>
      <sheetName val="Quadro 3"/>
      <sheetName val="Quadro 4"/>
      <sheetName val="Quadros 5 6 7"/>
      <sheetName val="Anexo IV- Qde e Valor 100%"/>
      <sheetName val="Anexo III- Qde Prof_Empr_RRT"/>
      <sheetName val="Anexo V-Resumo Valor 80% "/>
      <sheetName val="Alterações ou Resumo do CAU_UF"/>
      <sheetName val="Anexo VI-Repasse Fundo de Apoio"/>
      <sheetName val="Anexo VI.I-Aporte do FA"/>
      <sheetName val="Anexo VII- CSC - SERV."/>
      <sheetName val="Anexo VII.I-CSC-Teleatendimento"/>
      <sheetName val="Anexo VII.II-CSC -ESSENCIAIS"/>
      <sheetName val="Anexo VII.III- SISCAF"/>
      <sheetName val="GERAL_CSC"/>
      <sheetName val=" Anexo VIII-TARIFAS BANCÁRIAS"/>
      <sheetName val="Anexo X.I-Projeções (80 e 100)"/>
      <sheetName val="PF - Projeção"/>
      <sheetName val="Anexo X.II-Anuidades PF"/>
      <sheetName val="PJ - Projeção"/>
      <sheetName val="RRT"/>
      <sheetName val="Anexo X.III- Anuidades PJ"/>
      <sheetName val="Anexo X.IV- RRT "/>
      <sheetName val="Taxas e Multas"/>
      <sheetName val="Anexo X.V-Taxas e Multas"/>
      <sheetName val="Estudos-Percentuais"/>
      <sheetName val="Exerc.Anteriores PF-PJ"/>
      <sheetName val="PASSAGENS_2022"/>
      <sheetName val="Arrecadação_Aportes "/>
      <sheetName val="APRESENTAÇÃO  2022"/>
      <sheetName val="Aporte_Arrecadação(2)"/>
      <sheetName val="ANEXO XI.I"/>
      <sheetName val="EMPRESAS"/>
      <sheetName val="CSC_TAQ e Telefon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A4" t="str">
            <v>AC</v>
          </cell>
          <cell r="B4">
            <v>133747.57999999999</v>
          </cell>
          <cell r="C4">
            <v>28680.300000000003</v>
          </cell>
          <cell r="D4">
            <v>162427.88</v>
          </cell>
          <cell r="E4">
            <v>173779.93599999999</v>
          </cell>
          <cell r="F4">
            <v>28680.296000000002</v>
          </cell>
          <cell r="G4">
            <v>202460.23199999999</v>
          </cell>
          <cell r="H4">
            <v>23984.199999999997</v>
          </cell>
          <cell r="I4">
            <v>7609.2600000000039</v>
          </cell>
          <cell r="J4">
            <v>31593.46</v>
          </cell>
          <cell r="K4">
            <v>26559.703999999998</v>
          </cell>
          <cell r="L4">
            <v>7609.2720000000008</v>
          </cell>
          <cell r="M4">
            <v>34168.975999999995</v>
          </cell>
          <cell r="N4">
            <v>206165.16</v>
          </cell>
          <cell r="O4">
            <v>235854.82</v>
          </cell>
          <cell r="P4">
            <v>17772.46</v>
          </cell>
          <cell r="Q4">
            <v>24707.91</v>
          </cell>
          <cell r="R4">
            <v>417958.96</v>
          </cell>
          <cell r="S4">
            <v>497191.93799999997</v>
          </cell>
        </row>
        <row r="5">
          <cell r="A5" t="str">
            <v>AM</v>
          </cell>
          <cell r="B5">
            <v>416901.95999999996</v>
          </cell>
          <cell r="C5">
            <v>121138.21</v>
          </cell>
          <cell r="D5">
            <v>538040.16999999993</v>
          </cell>
          <cell r="E5">
            <v>571370.08000000007</v>
          </cell>
          <cell r="F5">
            <v>121138.20800000001</v>
          </cell>
          <cell r="G5">
            <v>692508.28800000006</v>
          </cell>
          <cell r="H5">
            <v>36262.19</v>
          </cell>
          <cell r="I5">
            <v>21504.720000000001</v>
          </cell>
          <cell r="J5">
            <v>57766.91</v>
          </cell>
          <cell r="K5">
            <v>46580.504000000001</v>
          </cell>
          <cell r="L5">
            <v>21504.728000000003</v>
          </cell>
          <cell r="M5">
            <v>68085.232000000004</v>
          </cell>
          <cell r="N5">
            <v>469924.92</v>
          </cell>
          <cell r="O5">
            <v>580459.14</v>
          </cell>
          <cell r="P5">
            <v>56137.91</v>
          </cell>
          <cell r="Q5">
            <v>67052.63</v>
          </cell>
          <cell r="R5">
            <v>1121869.9099999999</v>
          </cell>
          <cell r="S5">
            <v>1408105.29</v>
          </cell>
        </row>
        <row r="6">
          <cell r="A6" t="str">
            <v>AP</v>
          </cell>
          <cell r="B6">
            <v>149612.31</v>
          </cell>
          <cell r="C6">
            <v>40871.720000000016</v>
          </cell>
          <cell r="D6">
            <v>190484.03000000003</v>
          </cell>
          <cell r="E6">
            <v>199437.94400000002</v>
          </cell>
          <cell r="F6">
            <v>40871.728000000003</v>
          </cell>
          <cell r="G6">
            <v>240309.67200000002</v>
          </cell>
          <cell r="H6">
            <v>25154.1</v>
          </cell>
          <cell r="I6">
            <v>22426.179999999997</v>
          </cell>
          <cell r="J6">
            <v>47580.28</v>
          </cell>
          <cell r="K6">
            <v>33169.32</v>
          </cell>
          <cell r="L6">
            <v>22426.176000000003</v>
          </cell>
          <cell r="M6">
            <v>55595.495999999999</v>
          </cell>
          <cell r="N6">
            <v>259685.04</v>
          </cell>
          <cell r="O6">
            <v>297156.28999999998</v>
          </cell>
          <cell r="P6">
            <v>21749.19</v>
          </cell>
          <cell r="Q6">
            <v>29653.07</v>
          </cell>
          <cell r="R6">
            <v>519498.54000000004</v>
          </cell>
          <cell r="S6">
            <v>622714.52799999993</v>
          </cell>
        </row>
        <row r="7">
          <cell r="A7" t="str">
            <v>PA</v>
          </cell>
          <cell r="B7">
            <v>496336.06</v>
          </cell>
          <cell r="C7">
            <v>288818.38</v>
          </cell>
          <cell r="D7">
            <v>785154.44</v>
          </cell>
          <cell r="E7">
            <v>631256.57600000012</v>
          </cell>
          <cell r="F7">
            <v>288818.38400000002</v>
          </cell>
          <cell r="G7">
            <v>920074.9600000002</v>
          </cell>
          <cell r="H7">
            <v>43801.729999999996</v>
          </cell>
          <cell r="I7">
            <v>30925.570000000007</v>
          </cell>
          <cell r="J7">
            <v>74727.3</v>
          </cell>
          <cell r="K7">
            <v>51412.072</v>
          </cell>
          <cell r="L7">
            <v>30925.567999999999</v>
          </cell>
          <cell r="M7">
            <v>82337.64</v>
          </cell>
          <cell r="N7">
            <v>630798</v>
          </cell>
          <cell r="O7">
            <v>718127.7</v>
          </cell>
          <cell r="P7">
            <v>67638.45</v>
          </cell>
          <cell r="Q7">
            <v>77424.31</v>
          </cell>
          <cell r="R7">
            <v>1558318.19</v>
          </cell>
          <cell r="S7">
            <v>1797964.6100000003</v>
          </cell>
        </row>
        <row r="8">
          <cell r="A8" t="str">
            <v>RO</v>
          </cell>
          <cell r="B8">
            <v>297526.93</v>
          </cell>
          <cell r="C8">
            <v>50792.11</v>
          </cell>
          <cell r="D8">
            <v>348319.04</v>
          </cell>
          <cell r="E8">
            <v>376617.67199999996</v>
          </cell>
          <cell r="F8">
            <v>50792.112000000001</v>
          </cell>
          <cell r="G8">
            <v>427409.78399999999</v>
          </cell>
          <cell r="H8">
            <v>39008.199999999997</v>
          </cell>
          <cell r="I8">
            <v>14584.260000000002</v>
          </cell>
          <cell r="J8">
            <v>53592.46</v>
          </cell>
          <cell r="K8">
            <v>41183.200000000004</v>
          </cell>
          <cell r="L8">
            <v>14584.256000000001</v>
          </cell>
          <cell r="M8">
            <v>55767.456000000006</v>
          </cell>
          <cell r="N8">
            <v>824974.08</v>
          </cell>
          <cell r="O8">
            <v>953030.09</v>
          </cell>
          <cell r="P8">
            <v>48087.68</v>
          </cell>
          <cell r="Q8">
            <v>64629.33</v>
          </cell>
          <cell r="R8">
            <v>1274973.26</v>
          </cell>
          <cell r="S8">
            <v>1500836.6600000001</v>
          </cell>
        </row>
        <row r="9">
          <cell r="A9" t="str">
            <v>RR</v>
          </cell>
          <cell r="B9">
            <v>48985.880000000005</v>
          </cell>
          <cell r="C9">
            <v>10597.97</v>
          </cell>
          <cell r="D9">
            <v>59583.850000000006</v>
          </cell>
          <cell r="E9">
            <v>58052.096000000012</v>
          </cell>
          <cell r="F9">
            <v>10597.968000000001</v>
          </cell>
          <cell r="G9">
            <v>68650.064000000013</v>
          </cell>
          <cell r="H9">
            <v>7966.4699999999993</v>
          </cell>
          <cell r="I9">
            <v>4434.5599999999995</v>
          </cell>
          <cell r="J9">
            <v>12401.029999999999</v>
          </cell>
          <cell r="K9">
            <v>8061.8640000000014</v>
          </cell>
          <cell r="L9">
            <v>4434.5600000000004</v>
          </cell>
          <cell r="M9">
            <v>12496.424000000003</v>
          </cell>
          <cell r="N9">
            <v>98576.88</v>
          </cell>
          <cell r="O9">
            <v>109875.1</v>
          </cell>
          <cell r="P9">
            <v>5830.72</v>
          </cell>
          <cell r="Q9">
            <v>7640.86</v>
          </cell>
          <cell r="R9">
            <v>176392.48</v>
          </cell>
          <cell r="S9">
            <v>198662.448</v>
          </cell>
        </row>
        <row r="10">
          <cell r="A10" t="str">
            <v>TO</v>
          </cell>
          <cell r="B10">
            <v>184562.88</v>
          </cell>
          <cell r="C10">
            <v>57922.269999999982</v>
          </cell>
          <cell r="D10">
            <v>242485.15</v>
          </cell>
          <cell r="E10">
            <v>233109.96000000008</v>
          </cell>
          <cell r="F10">
            <v>33368.248</v>
          </cell>
          <cell r="G10">
            <v>266478.2080000001</v>
          </cell>
          <cell r="H10">
            <v>28268.52</v>
          </cell>
          <cell r="I10">
            <v>15518.019999999997</v>
          </cell>
          <cell r="J10">
            <v>43786.539999999994</v>
          </cell>
          <cell r="K10">
            <v>29739.488000000001</v>
          </cell>
          <cell r="L10">
            <v>15518.023999999999</v>
          </cell>
          <cell r="M10">
            <v>45257.512000000002</v>
          </cell>
          <cell r="N10">
            <v>425259.72</v>
          </cell>
          <cell r="O10">
            <v>478376.6</v>
          </cell>
          <cell r="P10">
            <v>30867.9</v>
          </cell>
          <cell r="Q10">
            <v>44505.71</v>
          </cell>
          <cell r="R10">
            <v>742399.30999999994</v>
          </cell>
          <cell r="S10">
            <v>834618.03</v>
          </cell>
        </row>
        <row r="11">
          <cell r="A11" t="str">
            <v>Soma (N)</v>
          </cell>
          <cell r="B11">
            <v>1727673.5999999996</v>
          </cell>
          <cell r="C11">
            <v>598820.96000000008</v>
          </cell>
          <cell r="D11">
            <v>2326494.56</v>
          </cell>
          <cell r="E11">
            <v>2243624.2640000004</v>
          </cell>
          <cell r="F11">
            <v>574266.94400000002</v>
          </cell>
          <cell r="G11">
            <v>2817891.2080000001</v>
          </cell>
          <cell r="H11">
            <v>204445.40999999997</v>
          </cell>
          <cell r="I11">
            <v>117002.57</v>
          </cell>
          <cell r="J11">
            <v>321447.98000000004</v>
          </cell>
          <cell r="K11">
            <v>236706.152</v>
          </cell>
          <cell r="L11">
            <v>117002.584</v>
          </cell>
          <cell r="M11">
            <v>353708.73599999998</v>
          </cell>
          <cell r="N11">
            <v>2915383.8</v>
          </cell>
          <cell r="O11">
            <v>3372879.74</v>
          </cell>
          <cell r="P11">
            <v>248084.31</v>
          </cell>
          <cell r="Q11">
            <v>315613.82</v>
          </cell>
          <cell r="R11">
            <v>5811410.6499999994</v>
          </cell>
          <cell r="S11">
            <v>6860093.5040000007</v>
          </cell>
        </row>
        <row r="12">
          <cell r="A12" t="str">
            <v>AL</v>
          </cell>
          <cell r="B12">
            <v>449510.76</v>
          </cell>
          <cell r="C12">
            <v>134760.29999999999</v>
          </cell>
          <cell r="D12">
            <v>584271.06000000006</v>
          </cell>
          <cell r="E12">
            <v>529644.17599999998</v>
          </cell>
          <cell r="F12">
            <v>119850.66399999999</v>
          </cell>
          <cell r="G12">
            <v>649494.84</v>
          </cell>
          <cell r="H12">
            <v>24673.53</v>
          </cell>
          <cell r="I12">
            <v>19201.43</v>
          </cell>
          <cell r="J12">
            <v>43874.96</v>
          </cell>
          <cell r="K12">
            <v>28274.615999999998</v>
          </cell>
          <cell r="L12">
            <v>19201.423999999999</v>
          </cell>
          <cell r="M12">
            <v>47476.039999999994</v>
          </cell>
          <cell r="N12">
            <v>557139.6</v>
          </cell>
          <cell r="O12">
            <v>623231.63</v>
          </cell>
          <cell r="P12">
            <v>65651.72</v>
          </cell>
          <cell r="Q12">
            <v>85690.17</v>
          </cell>
          <cell r="R12">
            <v>1250937.3400000001</v>
          </cell>
          <cell r="S12">
            <v>1405892.68</v>
          </cell>
        </row>
        <row r="13">
          <cell r="A13" t="str">
            <v>BA</v>
          </cell>
          <cell r="B13">
            <v>1308962.26</v>
          </cell>
          <cell r="C13">
            <v>294898.40000000002</v>
          </cell>
          <cell r="D13">
            <v>1603860.6600000001</v>
          </cell>
          <cell r="E13">
            <v>1635572.3840000003</v>
          </cell>
          <cell r="F13">
            <v>294898.40000000002</v>
          </cell>
          <cell r="G13">
            <v>1930470.7840000005</v>
          </cell>
          <cell r="H13">
            <v>180090.81</v>
          </cell>
          <cell r="I13">
            <v>80935.03</v>
          </cell>
          <cell r="J13">
            <v>261025.84</v>
          </cell>
          <cell r="K13">
            <v>190196.36800000002</v>
          </cell>
          <cell r="L13">
            <v>80935.024000000005</v>
          </cell>
          <cell r="M13">
            <v>271131.39199999999</v>
          </cell>
          <cell r="N13">
            <v>1401938.76</v>
          </cell>
          <cell r="O13">
            <v>1581889.68</v>
          </cell>
          <cell r="P13">
            <v>146252.78</v>
          </cell>
          <cell r="Q13">
            <v>190281.52</v>
          </cell>
          <cell r="R13">
            <v>3413078.04</v>
          </cell>
          <cell r="S13">
            <v>3973773.3760000006</v>
          </cell>
        </row>
        <row r="14">
          <cell r="A14" t="str">
            <v>CE</v>
          </cell>
          <cell r="B14">
            <v>819993.89</v>
          </cell>
          <cell r="C14">
            <v>168626.55</v>
          </cell>
          <cell r="D14">
            <v>988620.44</v>
          </cell>
          <cell r="E14">
            <v>1073890.6000000001</v>
          </cell>
          <cell r="F14">
            <v>168626.54399999999</v>
          </cell>
          <cell r="G14">
            <v>1242517.1440000001</v>
          </cell>
          <cell r="H14">
            <v>81064.950000000012</v>
          </cell>
          <cell r="I14">
            <v>29076.74</v>
          </cell>
          <cell r="J14">
            <v>110141.69000000002</v>
          </cell>
          <cell r="K14">
            <v>95297.712</v>
          </cell>
          <cell r="L14">
            <v>29076.736000000001</v>
          </cell>
          <cell r="M14">
            <v>124374.448</v>
          </cell>
          <cell r="N14">
            <v>909916.32</v>
          </cell>
          <cell r="O14">
            <v>1034072.71</v>
          </cell>
          <cell r="P14">
            <v>84491.25</v>
          </cell>
          <cell r="Q14">
            <v>107937.7</v>
          </cell>
          <cell r="R14">
            <v>2093169.6999999997</v>
          </cell>
          <cell r="S14">
            <v>2508902.0020000003</v>
          </cell>
        </row>
        <row r="15">
          <cell r="A15" t="str">
            <v>MA</v>
          </cell>
          <cell r="B15">
            <v>390022.12</v>
          </cell>
          <cell r="C15">
            <v>104363.14000000001</v>
          </cell>
          <cell r="D15">
            <v>494385.26</v>
          </cell>
          <cell r="E15">
            <v>511040.36800000002</v>
          </cell>
          <cell r="F15">
            <v>104363.144</v>
          </cell>
          <cell r="G15">
            <v>615403.51199999999</v>
          </cell>
          <cell r="H15">
            <v>38619.230000000003</v>
          </cell>
          <cell r="I15">
            <v>37561.279999999999</v>
          </cell>
          <cell r="J15">
            <v>76180.510000000009</v>
          </cell>
          <cell r="K15">
            <v>41637.815999999999</v>
          </cell>
          <cell r="L15">
            <v>37561.279999999999</v>
          </cell>
          <cell r="M15">
            <v>79199.09599999999</v>
          </cell>
          <cell r="N15">
            <v>418285.68</v>
          </cell>
          <cell r="O15">
            <v>479848.53</v>
          </cell>
          <cell r="P15">
            <v>44225.89</v>
          </cell>
          <cell r="Q15">
            <v>52850.3</v>
          </cell>
          <cell r="R15">
            <v>1033077.34</v>
          </cell>
          <cell r="S15">
            <v>1227301.4380000001</v>
          </cell>
        </row>
        <row r="16">
          <cell r="A16" t="str">
            <v>PB</v>
          </cell>
          <cell r="B16">
            <v>603577.42999999993</v>
          </cell>
          <cell r="C16">
            <v>168712.42</v>
          </cell>
          <cell r="D16">
            <v>772289.85</v>
          </cell>
          <cell r="E16">
            <v>779545.16800000006</v>
          </cell>
          <cell r="F16">
            <v>158167.88800000001</v>
          </cell>
          <cell r="G16">
            <v>937713.0560000001</v>
          </cell>
          <cell r="H16">
            <v>58794.570000000007</v>
          </cell>
          <cell r="I16">
            <v>34004.050000000003</v>
          </cell>
          <cell r="J16">
            <v>92798.62000000001</v>
          </cell>
          <cell r="K16">
            <v>67108.960000000006</v>
          </cell>
          <cell r="L16">
            <v>26325.712</v>
          </cell>
          <cell r="M16">
            <v>93434.672000000006</v>
          </cell>
          <cell r="N16">
            <v>740737.08</v>
          </cell>
          <cell r="O16">
            <v>832331.99</v>
          </cell>
          <cell r="P16">
            <v>70990.320000000007</v>
          </cell>
          <cell r="Q16">
            <v>102491.38</v>
          </cell>
          <cell r="R16">
            <v>1676815.8699999999</v>
          </cell>
          <cell r="S16">
            <v>1965971.0980000002</v>
          </cell>
        </row>
        <row r="17">
          <cell r="A17" t="str">
            <v>PE</v>
          </cell>
          <cell r="B17">
            <v>1219395.81</v>
          </cell>
          <cell r="C17">
            <v>413684.7</v>
          </cell>
          <cell r="D17">
            <v>1633080.51</v>
          </cell>
          <cell r="E17">
            <v>1465865.0480000004</v>
          </cell>
          <cell r="F17">
            <v>195462.53600000002</v>
          </cell>
          <cell r="G17">
            <v>1661327.5840000005</v>
          </cell>
          <cell r="H17">
            <v>93121.03</v>
          </cell>
          <cell r="I17">
            <v>35145.509999999995</v>
          </cell>
          <cell r="J17">
            <v>128266.54</v>
          </cell>
          <cell r="K17">
            <v>118013.40800000001</v>
          </cell>
          <cell r="L17">
            <v>26716.376000000004</v>
          </cell>
          <cell r="M17">
            <v>144729.78400000001</v>
          </cell>
          <cell r="N17">
            <v>1399666.32</v>
          </cell>
          <cell r="O17">
            <v>1582322.6</v>
          </cell>
          <cell r="P17">
            <v>140018.53</v>
          </cell>
          <cell r="Q17">
            <v>186360.9</v>
          </cell>
          <cell r="R17">
            <v>3301031.9</v>
          </cell>
          <cell r="S17">
            <v>3574740.8680000002</v>
          </cell>
        </row>
        <row r="18">
          <cell r="A18" t="str">
            <v>PI</v>
          </cell>
          <cell r="B18">
            <v>324066.94</v>
          </cell>
          <cell r="C18">
            <v>155816.95000000001</v>
          </cell>
          <cell r="D18">
            <v>479883.89</v>
          </cell>
          <cell r="E18">
            <v>441365.21600000001</v>
          </cell>
          <cell r="F18">
            <v>55796.368000000009</v>
          </cell>
          <cell r="G18">
            <v>497161.58400000003</v>
          </cell>
          <cell r="H18">
            <v>49333.77</v>
          </cell>
          <cell r="I18">
            <v>37917.290000000008</v>
          </cell>
          <cell r="J18">
            <v>87251.06</v>
          </cell>
          <cell r="K18">
            <v>58238.896000000001</v>
          </cell>
          <cell r="L18">
            <v>10494.816000000001</v>
          </cell>
          <cell r="M18">
            <v>68733.712</v>
          </cell>
          <cell r="N18">
            <v>358732.08</v>
          </cell>
          <cell r="O18">
            <v>415430.03</v>
          </cell>
          <cell r="P18">
            <v>45031.78</v>
          </cell>
          <cell r="Q18">
            <v>44159.64</v>
          </cell>
          <cell r="R18">
            <v>970898.81</v>
          </cell>
          <cell r="S18">
            <v>1025484.9660000001</v>
          </cell>
        </row>
        <row r="19">
          <cell r="A19" t="str">
            <v>RN</v>
          </cell>
          <cell r="B19">
            <v>585039</v>
          </cell>
          <cell r="C19">
            <v>157137.49</v>
          </cell>
          <cell r="D19">
            <v>742176.49</v>
          </cell>
          <cell r="E19">
            <v>713019</v>
          </cell>
          <cell r="F19">
            <v>157137.48799999998</v>
          </cell>
          <cell r="G19">
            <v>870156.48800000001</v>
          </cell>
          <cell r="H19">
            <v>46798.61</v>
          </cell>
          <cell r="I19">
            <v>39673.749999999993</v>
          </cell>
          <cell r="J19">
            <v>86472.359999999986</v>
          </cell>
          <cell r="K19">
            <v>52927.455999999998</v>
          </cell>
          <cell r="L19">
            <v>39673.744000000006</v>
          </cell>
          <cell r="M19">
            <v>92601.200000000012</v>
          </cell>
          <cell r="N19">
            <v>766204.08</v>
          </cell>
          <cell r="O19">
            <v>877269.09</v>
          </cell>
          <cell r="P19">
            <v>72532.86</v>
          </cell>
          <cell r="Q19">
            <v>81554.3</v>
          </cell>
          <cell r="R19">
            <v>1667385.79</v>
          </cell>
          <cell r="S19">
            <v>1921581.078</v>
          </cell>
        </row>
        <row r="20">
          <cell r="A20" t="str">
            <v>SE</v>
          </cell>
          <cell r="B20">
            <v>340847.92</v>
          </cell>
          <cell r="C20">
            <v>90592.659999999989</v>
          </cell>
          <cell r="D20">
            <v>431440.57999999996</v>
          </cell>
          <cell r="E20">
            <v>435012.92799999996</v>
          </cell>
          <cell r="F20">
            <v>67014.960000000006</v>
          </cell>
          <cell r="G20">
            <v>502027.88799999998</v>
          </cell>
          <cell r="H20">
            <v>30126.93</v>
          </cell>
          <cell r="I20">
            <v>12640.259999999998</v>
          </cell>
          <cell r="J20">
            <v>42767.19</v>
          </cell>
          <cell r="K20">
            <v>38758.576000000001</v>
          </cell>
          <cell r="L20">
            <v>12640.256000000001</v>
          </cell>
          <cell r="M20">
            <v>51398.832000000002</v>
          </cell>
          <cell r="N20">
            <v>523836.6</v>
          </cell>
          <cell r="O20">
            <v>585134.67000000004</v>
          </cell>
          <cell r="P20">
            <v>43774.89</v>
          </cell>
          <cell r="Q20">
            <v>49948.9</v>
          </cell>
          <cell r="R20">
            <v>1041819.2599999999</v>
          </cell>
          <cell r="S20">
            <v>1188510.29</v>
          </cell>
        </row>
        <row r="21">
          <cell r="A21" t="str">
            <v>Soma (NE)</v>
          </cell>
          <cell r="B21">
            <v>6041416.1299999999</v>
          </cell>
          <cell r="C21">
            <v>1688592.6099999999</v>
          </cell>
          <cell r="D21">
            <v>7730008.7399999993</v>
          </cell>
          <cell r="E21">
            <v>7584954.8880000012</v>
          </cell>
          <cell r="F21">
            <v>1321317.9919999999</v>
          </cell>
          <cell r="G21">
            <v>8906272.8800000008</v>
          </cell>
          <cell r="H21">
            <v>602623.43000000005</v>
          </cell>
          <cell r="I21">
            <v>326155.33999999997</v>
          </cell>
          <cell r="J21">
            <v>928778.77</v>
          </cell>
          <cell r="K21">
            <v>690453.80799999996</v>
          </cell>
          <cell r="L21">
            <v>282625.36800000002</v>
          </cell>
          <cell r="M21">
            <v>973079.17600000009</v>
          </cell>
          <cell r="N21">
            <v>7076456.5199999996</v>
          </cell>
          <cell r="O21">
            <v>8011530.9300000006</v>
          </cell>
          <cell r="P21">
            <v>712970.02</v>
          </cell>
          <cell r="Q21">
            <v>901274.81000000017</v>
          </cell>
          <cell r="R21">
            <v>16448214.049999999</v>
          </cell>
          <cell r="S21">
            <v>18792157.796</v>
          </cell>
        </row>
        <row r="22">
          <cell r="A22" t="str">
            <v>DF</v>
          </cell>
          <cell r="B22">
            <v>1502059.5</v>
          </cell>
          <cell r="C22">
            <v>305742.58</v>
          </cell>
          <cell r="D22">
            <v>1807802.08</v>
          </cell>
          <cell r="E22">
            <v>1778840.4559999995</v>
          </cell>
          <cell r="F22">
            <v>272509.68800000002</v>
          </cell>
          <cell r="G22">
            <v>2051350.1439999996</v>
          </cell>
          <cell r="H22">
            <v>124079.33</v>
          </cell>
          <cell r="I22">
            <v>53126.969999999979</v>
          </cell>
          <cell r="J22">
            <v>177206.3</v>
          </cell>
          <cell r="K22">
            <v>133096.54399999999</v>
          </cell>
          <cell r="L22">
            <v>53126.96</v>
          </cell>
          <cell r="M22">
            <v>186223.50399999999</v>
          </cell>
          <cell r="N22">
            <v>1375453.08</v>
          </cell>
          <cell r="O22">
            <v>1539550.1</v>
          </cell>
          <cell r="P22">
            <v>164922.48000000001</v>
          </cell>
          <cell r="Q22">
            <v>216423.76</v>
          </cell>
          <cell r="R22">
            <v>3525383.94</v>
          </cell>
          <cell r="S22">
            <v>3993547.5079999994</v>
          </cell>
        </row>
        <row r="23">
          <cell r="A23" t="str">
            <v>GO</v>
          </cell>
          <cell r="B23">
            <v>1190349.76</v>
          </cell>
          <cell r="C23">
            <v>320000</v>
          </cell>
          <cell r="D23">
            <v>1510349.76</v>
          </cell>
          <cell r="E23">
            <v>1379093.6640000001</v>
          </cell>
          <cell r="F23">
            <v>221931.152</v>
          </cell>
          <cell r="G23">
            <v>1601024.8160000001</v>
          </cell>
          <cell r="H23">
            <v>67509.06</v>
          </cell>
          <cell r="I23">
            <v>35468.36</v>
          </cell>
          <cell r="J23">
            <v>102977.42</v>
          </cell>
          <cell r="K23">
            <v>82964.975999999995</v>
          </cell>
          <cell r="L23">
            <v>90843.423999999999</v>
          </cell>
          <cell r="M23">
            <v>173808.4</v>
          </cell>
          <cell r="N23">
            <v>2355501.6</v>
          </cell>
          <cell r="O23">
            <v>2651635</v>
          </cell>
          <cell r="P23">
            <v>138930.79</v>
          </cell>
          <cell r="Q23">
            <v>158024.91</v>
          </cell>
          <cell r="R23">
            <v>4107759.5700000003</v>
          </cell>
          <cell r="S23">
            <v>4584493.1260000002</v>
          </cell>
        </row>
        <row r="24">
          <cell r="A24" t="str">
            <v>MS</v>
          </cell>
          <cell r="B24">
            <v>719217.36</v>
          </cell>
          <cell r="C24">
            <v>228507.67</v>
          </cell>
          <cell r="D24">
            <v>947725.03</v>
          </cell>
          <cell r="E24">
            <v>854276.04800000007</v>
          </cell>
          <cell r="F24">
            <v>228507.67200000002</v>
          </cell>
          <cell r="G24">
            <v>1082783.7200000002</v>
          </cell>
          <cell r="H24">
            <v>101863.53</v>
          </cell>
          <cell r="I24">
            <v>53173.910000000018</v>
          </cell>
          <cell r="J24">
            <v>155037.44</v>
          </cell>
          <cell r="K24">
            <v>121900.35200000001</v>
          </cell>
          <cell r="L24">
            <v>53173.90400000001</v>
          </cell>
          <cell r="M24">
            <v>175074.25600000002</v>
          </cell>
          <cell r="N24">
            <v>1716084</v>
          </cell>
          <cell r="O24">
            <v>1860776.74</v>
          </cell>
          <cell r="P24">
            <v>118731.94</v>
          </cell>
          <cell r="Q24">
            <v>144739.51999999999</v>
          </cell>
          <cell r="R24">
            <v>2937578.4099999997</v>
          </cell>
          <cell r="S24">
            <v>3263374.236</v>
          </cell>
        </row>
        <row r="25">
          <cell r="A25" t="str">
            <v>MT</v>
          </cell>
          <cell r="B25">
            <v>841814.47</v>
          </cell>
          <cell r="C25">
            <v>174745.13</v>
          </cell>
          <cell r="D25">
            <v>1016559.6</v>
          </cell>
          <cell r="E25">
            <v>1059141.1679999998</v>
          </cell>
          <cell r="F25">
            <v>128444.17600000001</v>
          </cell>
          <cell r="G25">
            <v>1187585.3439999998</v>
          </cell>
          <cell r="H25">
            <v>87310.15</v>
          </cell>
          <cell r="I25">
            <v>47635.460000000006</v>
          </cell>
          <cell r="J25">
            <v>134945.60999999999</v>
          </cell>
          <cell r="K25">
            <v>108266.90399999998</v>
          </cell>
          <cell r="L25">
            <v>47635.456000000006</v>
          </cell>
          <cell r="M25">
            <v>155902.35999999999</v>
          </cell>
          <cell r="N25">
            <v>2611503.7200000002</v>
          </cell>
          <cell r="O25">
            <v>2977710.34</v>
          </cell>
          <cell r="P25">
            <v>116110.46</v>
          </cell>
          <cell r="Q25">
            <v>129635.94</v>
          </cell>
          <cell r="R25">
            <v>3879119.39</v>
          </cell>
          <cell r="S25">
            <v>4450833.9840000002</v>
          </cell>
        </row>
        <row r="26">
          <cell r="A26" t="str">
            <v>Soma (CO)</v>
          </cell>
          <cell r="B26">
            <v>4253441.09</v>
          </cell>
          <cell r="C26">
            <v>1028995.3800000001</v>
          </cell>
          <cell r="D26">
            <v>5282436.47</v>
          </cell>
          <cell r="E26">
            <v>5071351.3359999992</v>
          </cell>
          <cell r="F26">
            <v>851392.68800000008</v>
          </cell>
          <cell r="G26">
            <v>5922744.0239999993</v>
          </cell>
          <cell r="H26">
            <v>380762.07000000007</v>
          </cell>
          <cell r="I26">
            <v>189404.7</v>
          </cell>
          <cell r="J26">
            <v>570166.77</v>
          </cell>
          <cell r="K26">
            <v>446228.77599999995</v>
          </cell>
          <cell r="L26">
            <v>244779.74400000001</v>
          </cell>
          <cell r="M26">
            <v>691008.52</v>
          </cell>
          <cell r="N26">
            <v>8058542.4000000004</v>
          </cell>
          <cell r="O26">
            <v>9029672.1799999997</v>
          </cell>
          <cell r="P26">
            <v>538695.67000000004</v>
          </cell>
          <cell r="Q26">
            <v>648824.13000000012</v>
          </cell>
          <cell r="R26">
            <v>14449841.310000001</v>
          </cell>
          <cell r="S26">
            <v>16292248.853999998</v>
          </cell>
        </row>
        <row r="27">
          <cell r="A27" t="str">
            <v>ES</v>
          </cell>
          <cell r="B27">
            <v>1083868.6300000001</v>
          </cell>
          <cell r="C27">
            <v>243910.54999999978</v>
          </cell>
          <cell r="D27">
            <v>1327779.18</v>
          </cell>
          <cell r="E27">
            <v>1437738.3759999999</v>
          </cell>
          <cell r="F27">
            <v>82239.352000000014</v>
          </cell>
          <cell r="G27">
            <v>1519977.7279999999</v>
          </cell>
          <cell r="H27">
            <v>101755.51</v>
          </cell>
          <cell r="I27">
            <v>35634.04</v>
          </cell>
          <cell r="J27">
            <v>137389.54999999999</v>
          </cell>
          <cell r="K27">
            <v>128752.43200000002</v>
          </cell>
          <cell r="L27">
            <v>14149.88</v>
          </cell>
          <cell r="M27">
            <v>142902.31200000001</v>
          </cell>
          <cell r="N27">
            <v>1164272.8799999999</v>
          </cell>
          <cell r="O27">
            <v>1327246.1399999999</v>
          </cell>
          <cell r="P27">
            <v>97735.84</v>
          </cell>
          <cell r="Q27">
            <v>149580.47</v>
          </cell>
          <cell r="R27">
            <v>2727177.4499999997</v>
          </cell>
          <cell r="S27">
            <v>3139706.65</v>
          </cell>
        </row>
        <row r="28">
          <cell r="A28" t="str">
            <v>MG</v>
          </cell>
          <cell r="B28">
            <v>3864411.6599999997</v>
          </cell>
          <cell r="C28">
            <v>989040.98</v>
          </cell>
          <cell r="D28">
            <v>4853452.6399999997</v>
          </cell>
          <cell r="E28">
            <v>4786978.784</v>
          </cell>
          <cell r="F28">
            <v>672571.16</v>
          </cell>
          <cell r="G28">
            <v>5459549.9440000001</v>
          </cell>
          <cell r="H28">
            <v>357589.7</v>
          </cell>
          <cell r="I28">
            <v>135682.07</v>
          </cell>
          <cell r="J28">
            <v>493271.77</v>
          </cell>
          <cell r="K28">
            <v>430923.35200000007</v>
          </cell>
          <cell r="L28">
            <v>80833.144</v>
          </cell>
          <cell r="M28">
            <v>511756.49600000004</v>
          </cell>
          <cell r="N28">
            <v>4407201.4800000004</v>
          </cell>
          <cell r="O28">
            <v>4935114.83</v>
          </cell>
          <cell r="P28">
            <v>467067.51</v>
          </cell>
          <cell r="Q28">
            <v>592965.98</v>
          </cell>
          <cell r="R28">
            <v>10220993.4</v>
          </cell>
          <cell r="S28">
            <v>11499387.25</v>
          </cell>
        </row>
        <row r="29">
          <cell r="A29" t="str">
            <v>RJ</v>
          </cell>
          <cell r="B29">
            <v>4118030.05</v>
          </cell>
          <cell r="C29">
            <v>1358695.97</v>
          </cell>
          <cell r="D29">
            <v>5476726.0199999996</v>
          </cell>
          <cell r="E29">
            <v>4637544.568</v>
          </cell>
          <cell r="F29">
            <v>1377724.6320000002</v>
          </cell>
          <cell r="G29">
            <v>6015269.2000000002</v>
          </cell>
          <cell r="H29">
            <v>576993.97</v>
          </cell>
          <cell r="I29">
            <v>300519.21000000014</v>
          </cell>
          <cell r="J29">
            <v>877513.18000000017</v>
          </cell>
          <cell r="K29">
            <v>613813.02400000009</v>
          </cell>
          <cell r="L29">
            <v>307902.50400000002</v>
          </cell>
          <cell r="M29">
            <v>921715.52800000017</v>
          </cell>
          <cell r="N29">
            <v>4213417.2</v>
          </cell>
          <cell r="O29">
            <v>5158328.38</v>
          </cell>
          <cell r="P29">
            <v>463547.14</v>
          </cell>
          <cell r="Q29">
            <v>665242.22</v>
          </cell>
          <cell r="R29">
            <v>11031203.539999999</v>
          </cell>
          <cell r="S29">
            <v>12760555.328</v>
          </cell>
        </row>
        <row r="30">
          <cell r="A30" t="str">
            <v>SP</v>
          </cell>
          <cell r="B30">
            <v>14462994.970000001</v>
          </cell>
          <cell r="C30">
            <v>3454785.6500000018</v>
          </cell>
          <cell r="D30">
            <v>17917780.609999999</v>
          </cell>
          <cell r="E30">
            <v>17642934.056000002</v>
          </cell>
          <cell r="F30">
            <v>3147567.4000000004</v>
          </cell>
          <cell r="G30">
            <v>20790501.456</v>
          </cell>
          <cell r="H30">
            <v>1511169.7</v>
          </cell>
          <cell r="I30">
            <v>433573.5</v>
          </cell>
          <cell r="J30">
            <v>1944743.2</v>
          </cell>
          <cell r="K30">
            <v>1729808.0079999999</v>
          </cell>
          <cell r="L30">
            <v>422009.97600000002</v>
          </cell>
          <cell r="M30">
            <v>2151817.9840000002</v>
          </cell>
          <cell r="N30">
            <v>26818788.359999999</v>
          </cell>
          <cell r="O30">
            <v>30198334.600000001</v>
          </cell>
          <cell r="P30">
            <v>1630098.86</v>
          </cell>
          <cell r="Q30">
            <v>1700500.93</v>
          </cell>
          <cell r="R30">
            <v>48311411.030000001</v>
          </cell>
          <cell r="S30">
            <v>54841154.970000006</v>
          </cell>
        </row>
        <row r="31">
          <cell r="A31" t="str">
            <v>Soma (SE)</v>
          </cell>
          <cell r="B31">
            <v>23529305.310000002</v>
          </cell>
          <cell r="C31">
            <v>6046433.1500000022</v>
          </cell>
          <cell r="D31">
            <v>29575738.449999999</v>
          </cell>
          <cell r="E31">
            <v>28505195.784000002</v>
          </cell>
          <cell r="F31">
            <v>5280102.5440000007</v>
          </cell>
          <cell r="G31">
            <v>33785298.328000002</v>
          </cell>
          <cell r="H31">
            <v>2547508.88</v>
          </cell>
          <cell r="I31">
            <v>905408.82000000018</v>
          </cell>
          <cell r="J31">
            <v>3452917.7</v>
          </cell>
          <cell r="K31">
            <v>2903296.8160000001</v>
          </cell>
          <cell r="L31">
            <v>824895.50400000007</v>
          </cell>
          <cell r="M31">
            <v>3728192.3200000003</v>
          </cell>
          <cell r="N31">
            <v>36603679.920000002</v>
          </cell>
          <cell r="O31">
            <v>41619023.950000003</v>
          </cell>
          <cell r="P31">
            <v>2658449.35</v>
          </cell>
          <cell r="Q31">
            <v>3108289.5999999996</v>
          </cell>
          <cell r="R31">
            <v>72290785.420000002</v>
          </cell>
          <cell r="S31">
            <v>82240804.198000014</v>
          </cell>
        </row>
        <row r="32">
          <cell r="A32" t="str">
            <v>PR</v>
          </cell>
          <cell r="B32">
            <v>3295161.96</v>
          </cell>
          <cell r="C32">
            <v>597154.62</v>
          </cell>
          <cell r="D32">
            <v>3892316.58</v>
          </cell>
          <cell r="E32">
            <v>3584729.5519999997</v>
          </cell>
          <cell r="F32">
            <v>483287.37599999999</v>
          </cell>
          <cell r="G32">
            <v>4068016.9279999998</v>
          </cell>
          <cell r="H32">
            <v>459414.76</v>
          </cell>
          <cell r="I32">
            <v>136120.97999999998</v>
          </cell>
          <cell r="J32">
            <v>595535.74</v>
          </cell>
          <cell r="K32">
            <v>492594.59999999992</v>
          </cell>
          <cell r="L32">
            <v>130089.73600000002</v>
          </cell>
          <cell r="M32">
            <v>622684.33599999989</v>
          </cell>
          <cell r="N32">
            <v>6182917.4400000004</v>
          </cell>
          <cell r="O32">
            <v>6433970.46</v>
          </cell>
          <cell r="P32">
            <v>397911.73</v>
          </cell>
          <cell r="Q32">
            <v>444986.87</v>
          </cell>
          <cell r="R32">
            <v>11068681.490000002</v>
          </cell>
          <cell r="S32">
            <v>11569658.593999999</v>
          </cell>
        </row>
        <row r="33">
          <cell r="A33" t="str">
            <v>RS</v>
          </cell>
          <cell r="B33">
            <v>4135007.87</v>
          </cell>
          <cell r="C33">
            <v>674682.09</v>
          </cell>
          <cell r="D33">
            <v>4809689.96</v>
          </cell>
          <cell r="E33">
            <v>4734720.0959999999</v>
          </cell>
          <cell r="F33">
            <v>674682.09600000002</v>
          </cell>
          <cell r="G33">
            <v>5409402.1919999998</v>
          </cell>
          <cell r="H33">
            <v>515100.73</v>
          </cell>
          <cell r="I33">
            <v>201265.53</v>
          </cell>
          <cell r="J33">
            <v>716366.26</v>
          </cell>
          <cell r="K33">
            <v>608680.91200000001</v>
          </cell>
          <cell r="L33">
            <v>201265.52800000002</v>
          </cell>
          <cell r="M33">
            <v>809946.44000000006</v>
          </cell>
          <cell r="N33">
            <v>7347973.9199999999</v>
          </cell>
          <cell r="O33">
            <v>8176300.29</v>
          </cell>
          <cell r="P33">
            <v>473674.79</v>
          </cell>
          <cell r="Q33">
            <v>575825.96</v>
          </cell>
          <cell r="R33">
            <v>13347704.93</v>
          </cell>
          <cell r="S33">
            <v>14971474.881999999</v>
          </cell>
        </row>
        <row r="34">
          <cell r="A34" t="str">
            <v>SC</v>
          </cell>
          <cell r="B34">
            <v>2795823.03</v>
          </cell>
          <cell r="C34">
            <v>531290.5900000002</v>
          </cell>
          <cell r="D34">
            <v>3327113.62</v>
          </cell>
          <cell r="E34">
            <v>3476552.3760000002</v>
          </cell>
          <cell r="F34">
            <v>455971.64800000004</v>
          </cell>
          <cell r="G34">
            <v>3932524.0240000002</v>
          </cell>
          <cell r="H34">
            <v>351243.78</v>
          </cell>
          <cell r="I34">
            <v>92983.78999999995</v>
          </cell>
          <cell r="J34">
            <v>444227.56999999995</v>
          </cell>
          <cell r="K34">
            <v>386045.13599999994</v>
          </cell>
          <cell r="L34">
            <v>92983.784</v>
          </cell>
          <cell r="M34">
            <v>479028.91999999993</v>
          </cell>
          <cell r="N34">
            <v>4717193.6399999997</v>
          </cell>
          <cell r="O34">
            <v>5290282.4000000004</v>
          </cell>
          <cell r="P34">
            <v>262870.02</v>
          </cell>
          <cell r="Q34">
            <v>291055.06</v>
          </cell>
          <cell r="R34">
            <v>8751404.8499999996</v>
          </cell>
          <cell r="S34">
            <v>9992890.404000001</v>
          </cell>
        </row>
        <row r="35">
          <cell r="A35" t="str">
            <v>Soma (S)</v>
          </cell>
          <cell r="B35">
            <v>10225992.859999999</v>
          </cell>
          <cell r="C35">
            <v>1803127.3000000003</v>
          </cell>
          <cell r="D35">
            <v>12029120.16</v>
          </cell>
          <cell r="E35">
            <v>11796002.024</v>
          </cell>
          <cell r="F35">
            <v>1613941.12</v>
          </cell>
          <cell r="G35">
            <v>13409943.143999999</v>
          </cell>
          <cell r="H35">
            <v>1325759.27</v>
          </cell>
          <cell r="I35">
            <v>430370.29999999993</v>
          </cell>
          <cell r="J35">
            <v>1756129.5699999998</v>
          </cell>
          <cell r="K35">
            <v>1487320.6479999998</v>
          </cell>
          <cell r="L35">
            <v>424339.04800000001</v>
          </cell>
          <cell r="M35">
            <v>1911659.696</v>
          </cell>
          <cell r="N35">
            <v>18248085</v>
          </cell>
          <cell r="O35">
            <v>19900553.149999999</v>
          </cell>
          <cell r="P35">
            <v>1134456.54</v>
          </cell>
          <cell r="Q35">
            <v>1311867.8899999999</v>
          </cell>
          <cell r="R35">
            <v>33167791.270000003</v>
          </cell>
          <cell r="S35">
            <v>36534023.879999995</v>
          </cell>
        </row>
        <row r="36">
          <cell r="A36" t="str">
            <v>TOTAL</v>
          </cell>
          <cell r="B36">
            <v>45777828.990000002</v>
          </cell>
          <cell r="C36">
            <v>11165969.400000002</v>
          </cell>
          <cell r="D36">
            <v>56943798.379999995</v>
          </cell>
          <cell r="E36">
            <v>55201128.296000004</v>
          </cell>
          <cell r="F36">
            <v>9641021.3180000018</v>
          </cell>
          <cell r="G36">
            <v>64842149.583999999</v>
          </cell>
          <cell r="H36">
            <v>5061099.0600000005</v>
          </cell>
          <cell r="I36">
            <v>1968341.73</v>
          </cell>
          <cell r="J36">
            <v>7029440.790000001</v>
          </cell>
          <cell r="K36">
            <v>5764006.2000000002</v>
          </cell>
          <cell r="L36">
            <v>1893642.2480000001</v>
          </cell>
          <cell r="M36">
            <v>7657648.4480000008</v>
          </cell>
          <cell r="N36">
            <v>72902147.640000001</v>
          </cell>
          <cell r="O36">
            <v>81933659.950000003</v>
          </cell>
          <cell r="P36">
            <v>5292655.8900000006</v>
          </cell>
          <cell r="Q36">
            <v>6285870.2499999991</v>
          </cell>
          <cell r="R36">
            <v>142168042.70000002</v>
          </cell>
          <cell r="S36">
            <v>160719328.23199999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ras de Descontos - PF e PJ"/>
      <sheetName val="PF e PJ - com desconto"/>
      <sheetName val="Quadro 1 - AÇÕES ESTRATÉGICAS"/>
      <sheetName val="Quadro 2"/>
      <sheetName val="Quadro 3"/>
      <sheetName val="Quadro 4"/>
      <sheetName val="Quadros 5 6 7"/>
      <sheetName val="Anexo IV- Qde e Valor 100%"/>
      <sheetName val="Anexo III- Qde Prof_Empr_RRT"/>
      <sheetName val="Anexo V-Resumo Valor 80% "/>
      <sheetName val="Alterações ou Resumo do CAU_UF"/>
      <sheetName val="Anexo VI-Repasse Fundo de Apoio"/>
      <sheetName val="Anexo VI.I-Aporte do FA"/>
      <sheetName val="Anexo VII- CSC - SERV."/>
      <sheetName val="Anexo VII.I-CSC-Teleatendimento"/>
      <sheetName val="Anexo VII.II-CSC -ESSENCIAIS"/>
      <sheetName val="Anexo VII.III- SISCAF"/>
      <sheetName val="GERAL_CSC"/>
      <sheetName val=" Anexo VIII-TARIFAS BANCÁRIAS"/>
      <sheetName val="Anexo X.I-Projeções (80 e 100)"/>
      <sheetName val="PF - Projeção"/>
      <sheetName val="Anexo X.II-Anuidades PF"/>
      <sheetName val="PJ - Projeção"/>
      <sheetName val="RRT"/>
      <sheetName val="Anexo X.III- Anuidades PJ"/>
      <sheetName val="Anexo X.IV- RRT "/>
      <sheetName val="Taxas e Multas"/>
      <sheetName val="Anexo X.V-Taxas e Multas"/>
      <sheetName val="Estudos-Percentuais"/>
      <sheetName val="Exerc.Anteriores PF-PJ"/>
      <sheetName val="PASSAGENS_2022"/>
      <sheetName val="Arrecadação_Aportes "/>
      <sheetName val="APRESENTAÇÃO  2022"/>
      <sheetName val="Aporte_Arrecadação(2)"/>
      <sheetName val="ANEXO XI.I"/>
      <sheetName val="EMPRESAS"/>
      <sheetName val="CSC_TAQ e Telefon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A5" t="str">
            <v>AC</v>
          </cell>
          <cell r="B5">
            <v>678</v>
          </cell>
          <cell r="C5">
            <v>736</v>
          </cell>
          <cell r="D5">
            <v>8.5545722713864336</v>
          </cell>
          <cell r="E5">
            <v>673</v>
          </cell>
          <cell r="F5">
            <v>725</v>
          </cell>
          <cell r="G5">
            <v>7.7265973254086191</v>
          </cell>
          <cell r="H5">
            <v>430</v>
          </cell>
          <cell r="I5">
            <v>463</v>
          </cell>
          <cell r="J5">
            <v>7.6744186046511658</v>
          </cell>
          <cell r="K5">
            <v>36.106983655274895</v>
          </cell>
          <cell r="L5">
            <v>36.137931034482762</v>
          </cell>
          <cell r="M5">
            <v>3.0947379207866277E-2</v>
          </cell>
          <cell r="N5">
            <v>141</v>
          </cell>
          <cell r="O5">
            <v>146</v>
          </cell>
          <cell r="P5">
            <v>3.5460992907801341</v>
          </cell>
          <cell r="Q5">
            <v>68</v>
          </cell>
          <cell r="R5">
            <v>70</v>
          </cell>
          <cell r="S5">
            <v>2.941176470588232</v>
          </cell>
          <cell r="T5">
            <v>51.773049645390074</v>
          </cell>
          <cell r="U5">
            <v>52.054794520547951</v>
          </cell>
          <cell r="V5">
            <v>0.28174487515787661</v>
          </cell>
          <cell r="W5">
            <v>2631</v>
          </cell>
          <cell r="X5">
            <v>2724</v>
          </cell>
        </row>
        <row r="6">
          <cell r="A6" t="str">
            <v>AM</v>
          </cell>
          <cell r="B6">
            <v>1900</v>
          </cell>
          <cell r="C6">
            <v>2200</v>
          </cell>
          <cell r="D6">
            <v>15.789473684210535</v>
          </cell>
          <cell r="E6">
            <v>1889</v>
          </cell>
          <cell r="F6">
            <v>2182</v>
          </cell>
          <cell r="G6">
            <v>15.510852302805716</v>
          </cell>
          <cell r="H6">
            <v>1279</v>
          </cell>
          <cell r="I6">
            <v>1474</v>
          </cell>
          <cell r="J6">
            <v>15.246286161063338</v>
          </cell>
          <cell r="K6">
            <v>32.292218104817366</v>
          </cell>
          <cell r="L6">
            <v>32.447296058661777</v>
          </cell>
          <cell r="M6">
            <v>0.15507795384441181</v>
          </cell>
          <cell r="N6">
            <v>249</v>
          </cell>
          <cell r="O6">
            <v>260</v>
          </cell>
          <cell r="P6">
            <v>4.4176706827309289</v>
          </cell>
          <cell r="Q6">
            <v>118</v>
          </cell>
          <cell r="R6">
            <v>123</v>
          </cell>
          <cell r="S6">
            <v>4.2372881355932321</v>
          </cell>
          <cell r="T6">
            <v>52.610441767068274</v>
          </cell>
          <cell r="U6">
            <v>52.692307692307693</v>
          </cell>
          <cell r="V6">
            <v>8.1865925239419823E-2</v>
          </cell>
          <cell r="W6">
            <v>5997</v>
          </cell>
          <cell r="X6">
            <v>6704</v>
          </cell>
        </row>
        <row r="7">
          <cell r="A7" t="str">
            <v>AP</v>
          </cell>
          <cell r="B7">
            <v>802</v>
          </cell>
          <cell r="C7">
            <v>859.6</v>
          </cell>
          <cell r="D7">
            <v>7.1820448877805632</v>
          </cell>
          <cell r="E7">
            <v>801</v>
          </cell>
          <cell r="F7">
            <v>853.6</v>
          </cell>
          <cell r="G7">
            <v>6.5667915106117505</v>
          </cell>
          <cell r="H7">
            <v>462</v>
          </cell>
          <cell r="I7">
            <v>520</v>
          </cell>
          <cell r="J7">
            <v>12.554112554112564</v>
          </cell>
          <cell r="K7">
            <v>42.322097378277157</v>
          </cell>
          <cell r="L7">
            <v>39.081537019681356</v>
          </cell>
          <cell r="M7">
            <v>-3.2405603585958005</v>
          </cell>
          <cell r="N7">
            <v>282</v>
          </cell>
          <cell r="O7">
            <v>292</v>
          </cell>
          <cell r="P7">
            <v>3.5460992907801341</v>
          </cell>
          <cell r="Q7">
            <v>84</v>
          </cell>
          <cell r="R7">
            <v>87</v>
          </cell>
          <cell r="S7">
            <v>3.5714285714285836</v>
          </cell>
          <cell r="T7">
            <v>70.212765957446805</v>
          </cell>
          <cell r="U7">
            <v>70.205479452054789</v>
          </cell>
          <cell r="V7">
            <v>-7.2865053920168066E-3</v>
          </cell>
          <cell r="W7">
            <v>3314</v>
          </cell>
          <cell r="X7">
            <v>3432</v>
          </cell>
        </row>
        <row r="8">
          <cell r="A8" t="str">
            <v>PA</v>
          </cell>
          <cell r="B8">
            <v>3022</v>
          </cell>
          <cell r="C8">
            <v>3191.6</v>
          </cell>
          <cell r="D8">
            <v>5.612177365982788</v>
          </cell>
          <cell r="E8">
            <v>2909</v>
          </cell>
          <cell r="F8">
            <v>3024.6</v>
          </cell>
          <cell r="G8">
            <v>3.9738741835682276</v>
          </cell>
          <cell r="H8">
            <v>1594</v>
          </cell>
          <cell r="I8">
            <v>1745</v>
          </cell>
          <cell r="J8">
            <v>9.4730238393977402</v>
          </cell>
          <cell r="K8">
            <v>45.204537641801302</v>
          </cell>
          <cell r="L8">
            <v>42.306420683726778</v>
          </cell>
          <cell r="M8">
            <v>-2.8981169580745245</v>
          </cell>
          <cell r="N8">
            <v>405</v>
          </cell>
          <cell r="O8">
            <v>435</v>
          </cell>
          <cell r="P8">
            <v>7.407407407407419</v>
          </cell>
          <cell r="Q8">
            <v>127</v>
          </cell>
          <cell r="R8">
            <v>136</v>
          </cell>
          <cell r="S8">
            <v>7.0866141732283552</v>
          </cell>
          <cell r="T8">
            <v>68.641975308641975</v>
          </cell>
          <cell r="U8">
            <v>68.735632183908052</v>
          </cell>
          <cell r="V8">
            <v>9.3656875266077577E-2</v>
          </cell>
          <cell r="W8">
            <v>8050</v>
          </cell>
          <cell r="X8">
            <v>8294</v>
          </cell>
        </row>
        <row r="9">
          <cell r="A9" t="str">
            <v>RO</v>
          </cell>
          <cell r="B9">
            <v>1337</v>
          </cell>
          <cell r="C9">
            <v>1461.8</v>
          </cell>
          <cell r="D9">
            <v>9.3343305908750978</v>
          </cell>
          <cell r="E9">
            <v>1330</v>
          </cell>
          <cell r="F9">
            <v>1442.8</v>
          </cell>
          <cell r="G9">
            <v>8.4812030075188005</v>
          </cell>
          <cell r="H9">
            <v>956</v>
          </cell>
          <cell r="I9">
            <v>1030</v>
          </cell>
          <cell r="J9">
            <v>7.7405857740585873</v>
          </cell>
          <cell r="K9">
            <v>28.120300751879697</v>
          </cell>
          <cell r="L9">
            <v>28.611034100360413</v>
          </cell>
          <cell r="M9">
            <v>0.49073334848071681</v>
          </cell>
          <cell r="N9">
            <v>233</v>
          </cell>
          <cell r="O9">
            <v>241</v>
          </cell>
          <cell r="P9">
            <v>3.4334763948497908</v>
          </cell>
          <cell r="Q9">
            <v>105</v>
          </cell>
          <cell r="R9">
            <v>109</v>
          </cell>
          <cell r="S9">
            <v>3.8095238095238244</v>
          </cell>
          <cell r="T9">
            <v>54.935622317596568</v>
          </cell>
          <cell r="U9">
            <v>54.771784232365142</v>
          </cell>
          <cell r="V9">
            <v>-0.16383808523142562</v>
          </cell>
          <cell r="W9">
            <v>10528</v>
          </cell>
          <cell r="X9">
            <v>11007</v>
          </cell>
        </row>
        <row r="10">
          <cell r="A10" t="str">
            <v>RR</v>
          </cell>
          <cell r="B10">
            <v>239</v>
          </cell>
          <cell r="C10">
            <v>250</v>
          </cell>
          <cell r="D10">
            <v>4.6025104602510396</v>
          </cell>
          <cell r="E10">
            <v>232</v>
          </cell>
          <cell r="F10">
            <v>241</v>
          </cell>
          <cell r="G10">
            <v>3.8793103448275872</v>
          </cell>
          <cell r="H10">
            <v>149</v>
          </cell>
          <cell r="I10">
            <v>156</v>
          </cell>
          <cell r="J10">
            <v>4.6979865771812115</v>
          </cell>
          <cell r="K10">
            <v>35.775862068965509</v>
          </cell>
          <cell r="L10">
            <v>35.269709543568467</v>
          </cell>
          <cell r="M10">
            <v>-0.50615252539704159</v>
          </cell>
          <cell r="N10">
            <v>62</v>
          </cell>
          <cell r="O10">
            <v>64</v>
          </cell>
          <cell r="P10">
            <v>3.2258064516128968</v>
          </cell>
          <cell r="Q10">
            <v>21</v>
          </cell>
          <cell r="R10">
            <v>22</v>
          </cell>
          <cell r="S10">
            <v>4.7619047619047734</v>
          </cell>
          <cell r="T10">
            <v>66.129032258064512</v>
          </cell>
          <cell r="U10">
            <v>65.625</v>
          </cell>
          <cell r="V10">
            <v>-0.50403225806451246</v>
          </cell>
          <cell r="W10">
            <v>1258</v>
          </cell>
          <cell r="X10">
            <v>1269</v>
          </cell>
        </row>
        <row r="11">
          <cell r="A11" t="str">
            <v>TO</v>
          </cell>
          <cell r="B11">
            <v>828</v>
          </cell>
          <cell r="C11">
            <v>873</v>
          </cell>
          <cell r="D11">
            <v>5.4347826086956559</v>
          </cell>
          <cell r="E11">
            <v>815</v>
          </cell>
          <cell r="F11">
            <v>854</v>
          </cell>
          <cell r="G11">
            <v>4.7852760736196274</v>
          </cell>
          <cell r="H11">
            <v>586</v>
          </cell>
          <cell r="I11">
            <v>616</v>
          </cell>
          <cell r="J11">
            <v>5.11945392491468</v>
          </cell>
          <cell r="K11">
            <v>28.098159509202461</v>
          </cell>
          <cell r="L11">
            <v>27.868852459016395</v>
          </cell>
          <cell r="M11">
            <v>-0.22930705018606545</v>
          </cell>
          <cell r="N11">
            <v>206</v>
          </cell>
          <cell r="O11">
            <v>213</v>
          </cell>
          <cell r="P11">
            <v>3.3980582524271767</v>
          </cell>
          <cell r="Q11">
            <v>75</v>
          </cell>
          <cell r="R11">
            <v>78</v>
          </cell>
          <cell r="S11">
            <v>4</v>
          </cell>
          <cell r="T11">
            <v>63.592233009708735</v>
          </cell>
          <cell r="U11">
            <v>63.380281690140841</v>
          </cell>
          <cell r="V11">
            <v>-0.21195131956789481</v>
          </cell>
          <cell r="W11">
            <v>5427</v>
          </cell>
          <cell r="X11">
            <v>5525</v>
          </cell>
        </row>
        <row r="12">
          <cell r="A12" t="str">
            <v>Soma (N)</v>
          </cell>
          <cell r="B12">
            <v>8806</v>
          </cell>
          <cell r="C12">
            <v>9572</v>
          </cell>
          <cell r="D12">
            <v>8.6986145809675293</v>
          </cell>
          <cell r="E12">
            <v>8649</v>
          </cell>
          <cell r="F12">
            <v>9323</v>
          </cell>
          <cell r="G12">
            <v>7.7928084171580565</v>
          </cell>
          <cell r="H12">
            <v>5456</v>
          </cell>
          <cell r="I12">
            <v>6004</v>
          </cell>
          <cell r="J12">
            <v>10.04398826979471</v>
          </cell>
          <cell r="K12">
            <v>36.917562724014338</v>
          </cell>
          <cell r="L12">
            <v>35.600128713933287</v>
          </cell>
          <cell r="M12">
            <v>-1.3174340100810511</v>
          </cell>
          <cell r="N12">
            <v>1578</v>
          </cell>
          <cell r="O12">
            <v>1651</v>
          </cell>
          <cell r="P12">
            <v>4.6261089987325761</v>
          </cell>
          <cell r="Q12">
            <v>598</v>
          </cell>
          <cell r="R12">
            <v>625</v>
          </cell>
          <cell r="S12">
            <v>4.5150501672240893</v>
          </cell>
          <cell r="T12">
            <v>62.103929024081118</v>
          </cell>
          <cell r="U12">
            <v>62.144155057540885</v>
          </cell>
          <cell r="V12">
            <v>4.0226033459767052E-2</v>
          </cell>
          <cell r="W12">
            <v>37205</v>
          </cell>
          <cell r="X12">
            <v>38955</v>
          </cell>
        </row>
        <row r="13">
          <cell r="A13" t="str">
            <v>AL</v>
          </cell>
          <cell r="B13">
            <v>2099</v>
          </cell>
          <cell r="C13">
            <v>2183</v>
          </cell>
          <cell r="D13">
            <v>4.0019056693663515</v>
          </cell>
          <cell r="E13">
            <v>2051</v>
          </cell>
          <cell r="F13">
            <v>2095</v>
          </cell>
          <cell r="G13">
            <v>2.1452949780594821</v>
          </cell>
          <cell r="H13">
            <v>1358</v>
          </cell>
          <cell r="I13">
            <v>1416</v>
          </cell>
          <cell r="J13">
            <v>4.2709867452135626</v>
          </cell>
          <cell r="K13">
            <v>33.788395904436868</v>
          </cell>
          <cell r="L13">
            <v>32.410501193317415</v>
          </cell>
          <cell r="M13">
            <v>-1.3778947111194526</v>
          </cell>
          <cell r="N13">
            <v>166</v>
          </cell>
          <cell r="O13">
            <v>174</v>
          </cell>
          <cell r="P13">
            <v>4.8192771084337238</v>
          </cell>
          <cell r="Q13">
            <v>72</v>
          </cell>
          <cell r="R13">
            <v>75</v>
          </cell>
          <cell r="S13">
            <v>4.1666666666666714</v>
          </cell>
          <cell r="T13">
            <v>56.626506024096386</v>
          </cell>
          <cell r="U13">
            <v>56.896551724137936</v>
          </cell>
          <cell r="V13">
            <v>0.27004570004154971</v>
          </cell>
          <cell r="W13">
            <v>7110</v>
          </cell>
          <cell r="X13">
            <v>7198</v>
          </cell>
        </row>
        <row r="14">
          <cell r="A14" t="str">
            <v>BA</v>
          </cell>
          <cell r="B14">
            <v>6994</v>
          </cell>
          <cell r="C14">
            <v>7366.3</v>
          </cell>
          <cell r="D14">
            <v>5.3231341149556783</v>
          </cell>
          <cell r="E14">
            <v>6275</v>
          </cell>
          <cell r="F14">
            <v>6563.3</v>
          </cell>
          <cell r="G14">
            <v>4.5944223107569684</v>
          </cell>
          <cell r="H14">
            <v>4339</v>
          </cell>
          <cell r="I14">
            <v>4538</v>
          </cell>
          <cell r="J14">
            <v>4.5863102097257524</v>
          </cell>
          <cell r="K14">
            <v>30.852589641434264</v>
          </cell>
          <cell r="L14">
            <v>30.857952554355279</v>
          </cell>
          <cell r="M14">
            <v>5.362912921015095E-3</v>
          </cell>
          <cell r="N14">
            <v>989</v>
          </cell>
          <cell r="O14">
            <v>1025</v>
          </cell>
          <cell r="P14">
            <v>3.6400404448938275</v>
          </cell>
          <cell r="Q14">
            <v>485</v>
          </cell>
          <cell r="R14">
            <v>503</v>
          </cell>
          <cell r="S14">
            <v>3.7113402061855822</v>
          </cell>
          <cell r="T14">
            <v>50.960566228513649</v>
          </cell>
          <cell r="U14">
            <v>50.926829268292686</v>
          </cell>
          <cell r="V14">
            <v>-3.3736960220963397E-2</v>
          </cell>
          <cell r="W14">
            <v>17891</v>
          </cell>
          <cell r="X14">
            <v>18270</v>
          </cell>
        </row>
        <row r="15">
          <cell r="A15" t="str">
            <v>CE</v>
          </cell>
          <cell r="B15">
            <v>4388</v>
          </cell>
          <cell r="C15">
            <v>4728</v>
          </cell>
          <cell r="D15">
            <v>7.7484047402005558</v>
          </cell>
          <cell r="E15">
            <v>4249</v>
          </cell>
          <cell r="F15">
            <v>4542</v>
          </cell>
          <cell r="G15">
            <v>6.8957401741586182</v>
          </cell>
          <cell r="H15">
            <v>2877</v>
          </cell>
          <cell r="I15">
            <v>3075</v>
          </cell>
          <cell r="J15">
            <v>6.8821689259645353</v>
          </cell>
          <cell r="K15">
            <v>32.289950576606259</v>
          </cell>
          <cell r="L15">
            <v>32.298546895640683</v>
          </cell>
          <cell r="M15">
            <v>8.5963190344244822E-3</v>
          </cell>
          <cell r="N15">
            <v>422</v>
          </cell>
          <cell r="O15">
            <v>437</v>
          </cell>
          <cell r="P15">
            <v>3.5545023696682563</v>
          </cell>
          <cell r="Q15">
            <v>243</v>
          </cell>
          <cell r="R15">
            <v>252</v>
          </cell>
          <cell r="S15">
            <v>3.7037037037036953</v>
          </cell>
          <cell r="T15">
            <v>42.417061611374407</v>
          </cell>
          <cell r="U15">
            <v>42.334096109839813</v>
          </cell>
          <cell r="V15">
            <v>-8.2965501534594921E-2</v>
          </cell>
          <cell r="W15">
            <v>11612</v>
          </cell>
          <cell r="X15">
            <v>11943</v>
          </cell>
        </row>
        <row r="16">
          <cell r="A16" t="str">
            <v>MA</v>
          </cell>
          <cell r="B16">
            <v>2017</v>
          </cell>
          <cell r="C16">
            <v>2161</v>
          </cell>
          <cell r="D16">
            <v>7.1393158155676844</v>
          </cell>
          <cell r="E16">
            <v>1995</v>
          </cell>
          <cell r="F16">
            <v>2133</v>
          </cell>
          <cell r="G16">
            <v>6.9172932330827024</v>
          </cell>
          <cell r="H16">
            <v>1267</v>
          </cell>
          <cell r="I16">
            <v>1385</v>
          </cell>
          <cell r="J16">
            <v>9.3133385951065435</v>
          </cell>
          <cell r="K16">
            <v>36.491228070175438</v>
          </cell>
          <cell r="L16">
            <v>35.067979371776829</v>
          </cell>
          <cell r="M16">
            <v>-1.4232486983986092</v>
          </cell>
          <cell r="N16">
            <v>291</v>
          </cell>
          <cell r="O16">
            <v>301</v>
          </cell>
          <cell r="P16">
            <v>3.4364261168385042</v>
          </cell>
          <cell r="Q16">
            <v>106</v>
          </cell>
          <cell r="R16">
            <v>110</v>
          </cell>
          <cell r="S16">
            <v>3.7735849056603712</v>
          </cell>
          <cell r="T16">
            <v>63.573883161512029</v>
          </cell>
          <cell r="U16">
            <v>63.455149501661126</v>
          </cell>
          <cell r="V16">
            <v>-0.11873365985090345</v>
          </cell>
          <cell r="W16">
            <v>5338</v>
          </cell>
          <cell r="X16">
            <v>5542</v>
          </cell>
        </row>
        <row r="17">
          <cell r="A17" t="str">
            <v>PB</v>
          </cell>
          <cell r="B17">
            <v>2962</v>
          </cell>
          <cell r="C17">
            <v>3134</v>
          </cell>
          <cell r="D17">
            <v>5.8068872383524592</v>
          </cell>
          <cell r="E17">
            <v>2917</v>
          </cell>
          <cell r="F17">
            <v>3068</v>
          </cell>
          <cell r="G17">
            <v>5.1765512512855736</v>
          </cell>
          <cell r="H17">
            <v>1987</v>
          </cell>
          <cell r="I17">
            <v>2147</v>
          </cell>
          <cell r="J17">
            <v>8.0523402113739309</v>
          </cell>
          <cell r="K17">
            <v>31.882070620500514</v>
          </cell>
          <cell r="L17">
            <v>30.019556714471975</v>
          </cell>
          <cell r="M17">
            <v>-1.8625139060285392</v>
          </cell>
          <cell r="N17">
            <v>503</v>
          </cell>
          <cell r="O17">
            <v>273</v>
          </cell>
          <cell r="P17">
            <v>-45.725646123260432</v>
          </cell>
          <cell r="Q17">
            <v>164</v>
          </cell>
          <cell r="R17">
            <v>177</v>
          </cell>
          <cell r="S17">
            <v>7.9268292682926926</v>
          </cell>
          <cell r="T17">
            <v>67.395626242544722</v>
          </cell>
          <cell r="U17">
            <v>35.164835164835168</v>
          </cell>
          <cell r="V17">
            <v>-32.230791077709554</v>
          </cell>
          <cell r="W17">
            <v>9453</v>
          </cell>
          <cell r="X17">
            <v>9613</v>
          </cell>
        </row>
        <row r="18">
          <cell r="A18" t="str">
            <v>PE</v>
          </cell>
          <cell r="B18">
            <v>5230</v>
          </cell>
          <cell r="C18">
            <v>5504.8</v>
          </cell>
          <cell r="D18">
            <v>5.2543021032504811</v>
          </cell>
          <cell r="E18">
            <v>4917</v>
          </cell>
          <cell r="F18">
            <v>5056.8</v>
          </cell>
          <cell r="G18">
            <v>2.8431970713849779</v>
          </cell>
          <cell r="H18">
            <v>3772</v>
          </cell>
          <cell r="I18">
            <v>3907</v>
          </cell>
          <cell r="J18">
            <v>3.5790031813361765</v>
          </cell>
          <cell r="K18">
            <v>23.286556843603819</v>
          </cell>
          <cell r="L18">
            <v>22.737699731055216</v>
          </cell>
          <cell r="M18">
            <v>-0.54885711254860325</v>
          </cell>
          <cell r="N18">
            <v>575</v>
          </cell>
          <cell r="O18">
            <v>537</v>
          </cell>
          <cell r="P18">
            <v>-6.6086956521739069</v>
          </cell>
          <cell r="Q18">
            <v>355</v>
          </cell>
          <cell r="R18">
            <v>332</v>
          </cell>
          <cell r="S18">
            <v>-6.4788732394366235</v>
          </cell>
          <cell r="T18">
            <v>38.260869565217391</v>
          </cell>
          <cell r="U18">
            <v>38.175046554934823</v>
          </cell>
          <cell r="V18">
            <v>-8.5823010282567225E-2</v>
          </cell>
          <cell r="W18">
            <v>17862</v>
          </cell>
          <cell r="X18">
            <v>18275</v>
          </cell>
        </row>
        <row r="19">
          <cell r="A19" t="str">
            <v>PI</v>
          </cell>
          <cell r="B19">
            <v>1495</v>
          </cell>
          <cell r="C19">
            <v>1641</v>
          </cell>
          <cell r="D19">
            <v>9.7658862876254204</v>
          </cell>
          <cell r="E19">
            <v>1462</v>
          </cell>
          <cell r="F19">
            <v>1599</v>
          </cell>
          <cell r="G19">
            <v>9.3707250341997366</v>
          </cell>
          <cell r="H19">
            <v>1085</v>
          </cell>
          <cell r="I19">
            <v>1196</v>
          </cell>
          <cell r="J19">
            <v>10.230414746543786</v>
          </cell>
          <cell r="K19">
            <v>25.786593707250333</v>
          </cell>
          <cell r="L19">
            <v>25.203252032520325</v>
          </cell>
          <cell r="M19">
            <v>-0.58334167473000775</v>
          </cell>
          <cell r="N19">
            <v>266</v>
          </cell>
          <cell r="O19">
            <v>275</v>
          </cell>
          <cell r="P19">
            <v>3.383458646616532</v>
          </cell>
          <cell r="Q19">
            <v>150</v>
          </cell>
          <cell r="R19">
            <v>155</v>
          </cell>
          <cell r="S19">
            <v>3.3333333333333428</v>
          </cell>
          <cell r="T19">
            <v>43.609022556390975</v>
          </cell>
          <cell r="U19">
            <v>43.63636363636364</v>
          </cell>
          <cell r="V19">
            <v>2.7341079972664772E-2</v>
          </cell>
          <cell r="W19">
            <v>4578</v>
          </cell>
          <cell r="X19">
            <v>4798</v>
          </cell>
        </row>
        <row r="20">
          <cell r="A20" t="str">
            <v>RN</v>
          </cell>
          <cell r="B20">
            <v>2626</v>
          </cell>
          <cell r="C20">
            <v>2816</v>
          </cell>
          <cell r="D20">
            <v>7.2353389185072245</v>
          </cell>
          <cell r="E20">
            <v>2582</v>
          </cell>
          <cell r="F20">
            <v>2736</v>
          </cell>
          <cell r="G20">
            <v>5.9643687064291413</v>
          </cell>
          <cell r="H20">
            <v>1813</v>
          </cell>
          <cell r="I20">
            <v>1896</v>
          </cell>
          <cell r="J20">
            <v>4.5780474351902996</v>
          </cell>
          <cell r="K20">
            <v>29.783113865220756</v>
          </cell>
          <cell r="L20">
            <v>30.701754385964904</v>
          </cell>
          <cell r="M20">
            <v>0.91864052074414815</v>
          </cell>
          <cell r="N20">
            <v>305</v>
          </cell>
          <cell r="O20">
            <v>316</v>
          </cell>
          <cell r="P20">
            <v>3.6065573770491852</v>
          </cell>
          <cell r="Q20">
            <v>135</v>
          </cell>
          <cell r="R20">
            <v>140</v>
          </cell>
          <cell r="S20">
            <v>3.7037037037036953</v>
          </cell>
          <cell r="T20">
            <v>55.73770491803279</v>
          </cell>
          <cell r="U20">
            <v>55.696202531645575</v>
          </cell>
          <cell r="V20">
            <v>-4.150238638721504E-2</v>
          </cell>
          <cell r="W20">
            <v>9778</v>
          </cell>
          <cell r="X20">
            <v>10132</v>
          </cell>
        </row>
        <row r="21">
          <cell r="A21" t="str">
            <v>SE</v>
          </cell>
          <cell r="B21">
            <v>1553</v>
          </cell>
          <cell r="C21">
            <v>1633</v>
          </cell>
          <cell r="D21">
            <v>5.1513200257566041</v>
          </cell>
          <cell r="E21">
            <v>1525</v>
          </cell>
          <cell r="F21">
            <v>1599</v>
          </cell>
          <cell r="G21">
            <v>4.8524590163934391</v>
          </cell>
          <cell r="H21">
            <v>1075</v>
          </cell>
          <cell r="I21">
            <v>1141</v>
          </cell>
          <cell r="J21">
            <v>6.1395348837209269</v>
          </cell>
          <cell r="K21">
            <v>29.508196721311478</v>
          </cell>
          <cell r="L21">
            <v>28.642901813633529</v>
          </cell>
          <cell r="M21">
            <v>-0.86529490767794925</v>
          </cell>
          <cell r="N21">
            <v>175</v>
          </cell>
          <cell r="O21">
            <v>172</v>
          </cell>
          <cell r="P21">
            <v>-1.7142857142857082</v>
          </cell>
          <cell r="Q21">
            <v>104</v>
          </cell>
          <cell r="R21">
            <v>102</v>
          </cell>
          <cell r="S21">
            <v>-1.923076923076934</v>
          </cell>
          <cell r="T21">
            <v>40.571428571428569</v>
          </cell>
          <cell r="U21">
            <v>40.697674418604649</v>
          </cell>
          <cell r="V21">
            <v>0.12624584717607945</v>
          </cell>
          <cell r="W21">
            <v>6685</v>
          </cell>
          <cell r="X21">
            <v>6758</v>
          </cell>
        </row>
        <row r="22">
          <cell r="A22" t="str">
            <v>Soma(NE)</v>
          </cell>
          <cell r="B22">
            <v>29364</v>
          </cell>
          <cell r="C22">
            <v>31167.1</v>
          </cell>
          <cell r="D22">
            <v>6.1405121917994734</v>
          </cell>
          <cell r="E22">
            <v>27973</v>
          </cell>
          <cell r="F22">
            <v>29392.1</v>
          </cell>
          <cell r="G22">
            <v>5.0731062095592137</v>
          </cell>
          <cell r="H22">
            <v>19573</v>
          </cell>
          <cell r="I22">
            <v>20701</v>
          </cell>
          <cell r="J22">
            <v>5.7630409237214621</v>
          </cell>
          <cell r="K22">
            <v>30.028956493761839</v>
          </cell>
          <cell r="L22">
            <v>29.569510174502668</v>
          </cell>
          <cell r="M22">
            <v>-0.45944631925917179</v>
          </cell>
          <cell r="N22">
            <v>3692</v>
          </cell>
          <cell r="O22">
            <v>3510</v>
          </cell>
          <cell r="P22">
            <v>-4.9295774647887356</v>
          </cell>
          <cell r="Q22">
            <v>1814</v>
          </cell>
          <cell r="R22">
            <v>1846</v>
          </cell>
          <cell r="S22">
            <v>1.7640573318632846</v>
          </cell>
          <cell r="T22">
            <v>50.866738894907911</v>
          </cell>
          <cell r="U22">
            <v>47.407407407407412</v>
          </cell>
          <cell r="V22">
            <v>-3.4593314875004992</v>
          </cell>
          <cell r="W22">
            <v>90307</v>
          </cell>
          <cell r="X22">
            <v>92529</v>
          </cell>
        </row>
        <row r="23">
          <cell r="A23" t="str">
            <v>DF</v>
          </cell>
          <cell r="B23">
            <v>6599</v>
          </cell>
          <cell r="C23">
            <v>6845.6</v>
          </cell>
          <cell r="D23">
            <v>3.7369298378542339</v>
          </cell>
          <cell r="E23">
            <v>6155</v>
          </cell>
          <cell r="F23">
            <v>6318.6</v>
          </cell>
          <cell r="G23">
            <v>2.6580016246953875</v>
          </cell>
          <cell r="H23">
            <v>4526</v>
          </cell>
          <cell r="I23">
            <v>4639</v>
          </cell>
          <cell r="J23">
            <v>2.4966858152894389</v>
          </cell>
          <cell r="K23">
            <v>26.466287571080429</v>
          </cell>
          <cell r="L23">
            <v>26.581837748868423</v>
          </cell>
          <cell r="M23">
            <v>0.11555017778799481</v>
          </cell>
          <cell r="N23">
            <v>766</v>
          </cell>
          <cell r="O23">
            <v>804</v>
          </cell>
          <cell r="P23">
            <v>4.9608355091383771</v>
          </cell>
          <cell r="Q23">
            <v>335</v>
          </cell>
          <cell r="R23">
            <v>352</v>
          </cell>
          <cell r="S23">
            <v>5.0746268656716325</v>
          </cell>
          <cell r="T23">
            <v>56.266318537859007</v>
          </cell>
          <cell r="U23">
            <v>56.218905472636813</v>
          </cell>
          <cell r="V23">
            <v>-4.7413065222194462E-2</v>
          </cell>
          <cell r="W23">
            <v>17553</v>
          </cell>
          <cell r="X23">
            <v>17781</v>
          </cell>
        </row>
        <row r="24">
          <cell r="A24" t="str">
            <v>GO</v>
          </cell>
          <cell r="B24">
            <v>5057</v>
          </cell>
          <cell r="C24">
            <v>5336</v>
          </cell>
          <cell r="D24">
            <v>5.5171050029661899</v>
          </cell>
          <cell r="E24">
            <v>4893</v>
          </cell>
          <cell r="F24">
            <v>5100</v>
          </cell>
          <cell r="G24">
            <v>4.2305334150827747</v>
          </cell>
          <cell r="H24">
            <v>3610</v>
          </cell>
          <cell r="I24">
            <v>3658</v>
          </cell>
          <cell r="J24">
            <v>1.3296398891966703</v>
          </cell>
          <cell r="K24">
            <v>26.22113222971592</v>
          </cell>
          <cell r="L24">
            <v>28.274509803921561</v>
          </cell>
          <cell r="M24">
            <v>2.0533775742056406</v>
          </cell>
          <cell r="N24">
            <v>697</v>
          </cell>
          <cell r="O24">
            <v>721</v>
          </cell>
          <cell r="P24">
            <v>3.4433285509325628</v>
          </cell>
          <cell r="Q24">
            <v>212</v>
          </cell>
          <cell r="R24">
            <v>219</v>
          </cell>
          <cell r="S24">
            <v>3.3018867924528195</v>
          </cell>
          <cell r="T24">
            <v>69.58393113342899</v>
          </cell>
          <cell r="U24">
            <v>69.625520110957012</v>
          </cell>
          <cell r="V24">
            <v>4.1588977528022042E-2</v>
          </cell>
          <cell r="W24">
            <v>30060</v>
          </cell>
          <cell r="X24">
            <v>30625</v>
          </cell>
        </row>
        <row r="25">
          <cell r="A25" t="str">
            <v>MS</v>
          </cell>
          <cell r="B25">
            <v>3591</v>
          </cell>
          <cell r="C25">
            <v>3649</v>
          </cell>
          <cell r="D25">
            <v>1.6151489835700517</v>
          </cell>
          <cell r="E25">
            <v>3539</v>
          </cell>
          <cell r="F25">
            <v>3554</v>
          </cell>
          <cell r="G25">
            <v>0.4238485447866509</v>
          </cell>
          <cell r="H25">
            <v>2213</v>
          </cell>
          <cell r="I25">
            <v>2261</v>
          </cell>
          <cell r="J25">
            <v>2.1690013556258521</v>
          </cell>
          <cell r="K25">
            <v>37.468211359141002</v>
          </cell>
          <cell r="L25">
            <v>36.381541924592007</v>
          </cell>
          <cell r="M25">
            <v>-1.0866694345489947</v>
          </cell>
          <cell r="N25">
            <v>663</v>
          </cell>
          <cell r="O25">
            <v>686</v>
          </cell>
          <cell r="P25">
            <v>3.4690799396681911</v>
          </cell>
          <cell r="Q25">
            <v>312</v>
          </cell>
          <cell r="R25">
            <v>323</v>
          </cell>
          <cell r="S25">
            <v>3.5256410256410362</v>
          </cell>
          <cell r="T25">
            <v>52.941176470588239</v>
          </cell>
          <cell r="U25">
            <v>52.915451895043731</v>
          </cell>
          <cell r="V25">
            <v>-2.5724575544508355E-2</v>
          </cell>
          <cell r="W25">
            <v>21900</v>
          </cell>
          <cell r="X25">
            <v>21491</v>
          </cell>
        </row>
        <row r="26">
          <cell r="A26" t="str">
            <v>MT</v>
          </cell>
          <cell r="B26">
            <v>3382</v>
          </cell>
          <cell r="C26">
            <v>3626</v>
          </cell>
          <cell r="D26">
            <v>7.2146658781785789</v>
          </cell>
          <cell r="E26">
            <v>3350</v>
          </cell>
          <cell r="F26">
            <v>3563</v>
          </cell>
          <cell r="G26">
            <v>6.3582089552238727</v>
          </cell>
          <cell r="H26">
            <v>2595</v>
          </cell>
          <cell r="I26">
            <v>2733</v>
          </cell>
          <cell r="J26">
            <v>5.3179190751445162</v>
          </cell>
          <cell r="K26">
            <v>22.53731343283583</v>
          </cell>
          <cell r="L26">
            <v>23.294976143699131</v>
          </cell>
          <cell r="M26">
            <v>0.7576627108633005</v>
          </cell>
          <cell r="N26">
            <v>615</v>
          </cell>
          <cell r="O26">
            <v>643</v>
          </cell>
          <cell r="P26">
            <v>4.5528455284552791</v>
          </cell>
          <cell r="Q26">
            <v>274</v>
          </cell>
          <cell r="R26">
            <v>286</v>
          </cell>
          <cell r="S26">
            <v>4.379562043795616</v>
          </cell>
          <cell r="T26">
            <v>55.447154471544714</v>
          </cell>
          <cell r="U26">
            <v>55.520995334370141</v>
          </cell>
          <cell r="V26">
            <v>7.3840862825427678E-2</v>
          </cell>
          <cell r="W26">
            <v>33327</v>
          </cell>
          <cell r="X26">
            <v>34391</v>
          </cell>
        </row>
        <row r="27">
          <cell r="A27" t="str">
            <v>Soma(CO)</v>
          </cell>
          <cell r="B27">
            <v>18629</v>
          </cell>
          <cell r="C27">
            <v>19456.599999999999</v>
          </cell>
          <cell r="D27">
            <v>4.4425358312308703</v>
          </cell>
          <cell r="E27">
            <v>17937</v>
          </cell>
          <cell r="F27">
            <v>18535.599999999999</v>
          </cell>
          <cell r="G27">
            <v>3.3372358811395486</v>
          </cell>
          <cell r="H27">
            <v>12944</v>
          </cell>
          <cell r="I27">
            <v>13291</v>
          </cell>
          <cell r="J27">
            <v>2.6807787391841771</v>
          </cell>
          <cell r="K27">
            <v>27.836315994870944</v>
          </cell>
          <cell r="L27">
            <v>28.294740930965261</v>
          </cell>
          <cell r="M27">
            <v>0.45842493609431756</v>
          </cell>
          <cell r="N27">
            <v>2741</v>
          </cell>
          <cell r="O27">
            <v>2854</v>
          </cell>
          <cell r="P27">
            <v>4.1225829989055143</v>
          </cell>
          <cell r="Q27">
            <v>1133</v>
          </cell>
          <cell r="R27">
            <v>1180</v>
          </cell>
          <cell r="S27">
            <v>4.1482789055604599</v>
          </cell>
          <cell r="T27">
            <v>58.66472090477928</v>
          </cell>
          <cell r="U27">
            <v>58.654519971969165</v>
          </cell>
          <cell r="V27">
            <v>-1.0200932810114693E-2</v>
          </cell>
          <cell r="W27">
            <v>102840</v>
          </cell>
          <cell r="X27">
            <v>104288</v>
          </cell>
        </row>
        <row r="28">
          <cell r="A28" t="str">
            <v>ES</v>
          </cell>
          <cell r="B28">
            <v>3816</v>
          </cell>
          <cell r="C28">
            <v>4055</v>
          </cell>
          <cell r="D28">
            <v>6.2631027253668776</v>
          </cell>
          <cell r="E28">
            <v>3749</v>
          </cell>
          <cell r="F28">
            <v>3960</v>
          </cell>
          <cell r="G28">
            <v>5.6281675113363434</v>
          </cell>
          <cell r="H28">
            <v>3385</v>
          </cell>
          <cell r="I28">
            <v>3688</v>
          </cell>
          <cell r="J28">
            <v>8.9512555391432898</v>
          </cell>
          <cell r="K28">
            <v>9.7092558015470729</v>
          </cell>
          <cell r="L28">
            <v>6.868686868686865</v>
          </cell>
          <cell r="M28">
            <v>-2.840568932860208</v>
          </cell>
          <cell r="N28">
            <v>457</v>
          </cell>
          <cell r="O28">
            <v>484</v>
          </cell>
          <cell r="P28">
            <v>5.9080962800875341</v>
          </cell>
          <cell r="Q28">
            <v>334</v>
          </cell>
          <cell r="R28">
            <v>341</v>
          </cell>
          <cell r="S28">
            <v>2.0958083832335319</v>
          </cell>
          <cell r="T28">
            <v>26.914660831509849</v>
          </cell>
          <cell r="U28">
            <v>29.545454545454547</v>
          </cell>
          <cell r="V28">
            <v>2.6307937139446977</v>
          </cell>
          <cell r="W28">
            <v>14858</v>
          </cell>
          <cell r="X28">
            <v>15329</v>
          </cell>
        </row>
        <row r="29">
          <cell r="A29" t="str">
            <v>MG</v>
          </cell>
          <cell r="B29">
            <v>16767</v>
          </cell>
          <cell r="C29">
            <v>17458</v>
          </cell>
          <cell r="D29">
            <v>4.1211904335897884</v>
          </cell>
          <cell r="E29">
            <v>16171</v>
          </cell>
          <cell r="F29">
            <v>16749</v>
          </cell>
          <cell r="G29">
            <v>3.5742996722528062</v>
          </cell>
          <cell r="H29">
            <v>11936</v>
          </cell>
          <cell r="I29">
            <v>12616</v>
          </cell>
          <cell r="J29">
            <v>5.6970509383378101</v>
          </cell>
          <cell r="K29">
            <v>26.188856595139441</v>
          </cell>
          <cell r="L29">
            <v>24.67610006567557</v>
          </cell>
          <cell r="M29">
            <v>-1.5127565294638714</v>
          </cell>
          <cell r="N29">
            <v>1781</v>
          </cell>
          <cell r="O29">
            <v>1892</v>
          </cell>
          <cell r="P29">
            <v>6.2324536777091453</v>
          </cell>
          <cell r="Q29">
            <v>1073</v>
          </cell>
          <cell r="R29">
            <v>1140</v>
          </cell>
          <cell r="S29">
            <v>6.2441752096924432</v>
          </cell>
          <cell r="T29">
            <v>39.752947782144865</v>
          </cell>
          <cell r="U29">
            <v>39.746300211416482</v>
          </cell>
          <cell r="V29">
            <v>-6.6475707283828456E-3</v>
          </cell>
          <cell r="W29">
            <v>56243</v>
          </cell>
          <cell r="X29">
            <v>56998</v>
          </cell>
        </row>
        <row r="30">
          <cell r="A30" t="str">
            <v>RJ</v>
          </cell>
          <cell r="B30">
            <v>21006</v>
          </cell>
          <cell r="C30">
            <v>21599.333333333332</v>
          </cell>
          <cell r="D30">
            <v>2.8245897997397407</v>
          </cell>
          <cell r="E30">
            <v>18113</v>
          </cell>
          <cell r="F30">
            <v>18095.333333333332</v>
          </cell>
          <cell r="G30">
            <v>-9.7535839820395154E-2</v>
          </cell>
          <cell r="H30">
            <v>12784</v>
          </cell>
          <cell r="I30">
            <v>13063</v>
          </cell>
          <cell r="J30">
            <v>2.1824155193992425</v>
          </cell>
          <cell r="K30">
            <v>29.420857947330646</v>
          </cell>
          <cell r="L30">
            <v>27.810116788858991</v>
          </cell>
          <cell r="M30">
            <v>-1.6107411584716544</v>
          </cell>
          <cell r="N30">
            <v>2812</v>
          </cell>
          <cell r="O30">
            <v>2932</v>
          </cell>
          <cell r="P30">
            <v>4.2674253200569012</v>
          </cell>
          <cell r="Q30">
            <v>1558</v>
          </cell>
          <cell r="R30">
            <v>1624</v>
          </cell>
          <cell r="S30">
            <v>4.2362002567394086</v>
          </cell>
          <cell r="T30">
            <v>44.594594594594597</v>
          </cell>
          <cell r="U30">
            <v>44.611186903137792</v>
          </cell>
          <cell r="V30">
            <v>1.65923085431956E-2</v>
          </cell>
          <cell r="W30">
            <v>53770</v>
          </cell>
          <cell r="X30">
            <v>59576</v>
          </cell>
        </row>
        <row r="31">
          <cell r="A31" t="str">
            <v>SP</v>
          </cell>
          <cell r="B31">
            <v>64529</v>
          </cell>
          <cell r="C31">
            <v>67388</v>
          </cell>
          <cell r="D31">
            <v>4.4305661020626275</v>
          </cell>
          <cell r="E31">
            <v>60926</v>
          </cell>
          <cell r="F31">
            <v>63009</v>
          </cell>
          <cell r="G31">
            <v>3.4189016183566991</v>
          </cell>
          <cell r="H31">
            <v>43802</v>
          </cell>
          <cell r="I31">
            <v>46627</v>
          </cell>
          <cell r="J31">
            <v>6.4494771928222576</v>
          </cell>
          <cell r="K31">
            <v>28.106227226471461</v>
          </cell>
          <cell r="L31">
            <v>25.999460394546816</v>
          </cell>
          <cell r="M31">
            <v>-2.1067668319246451</v>
          </cell>
          <cell r="N31">
            <v>7955</v>
          </cell>
          <cell r="O31">
            <v>8228</v>
          </cell>
          <cell r="P31">
            <v>3.4318038969201723</v>
          </cell>
          <cell r="Q31">
            <v>4424</v>
          </cell>
          <cell r="R31">
            <v>4576</v>
          </cell>
          <cell r="S31">
            <v>3.4358047016274753</v>
          </cell>
          <cell r="T31">
            <v>44.387177875549966</v>
          </cell>
          <cell r="U31">
            <v>44.385026737967912</v>
          </cell>
          <cell r="V31">
            <v>-2.1511375820537637E-3</v>
          </cell>
          <cell r="W31">
            <v>342251</v>
          </cell>
          <cell r="X31">
            <v>348775</v>
          </cell>
        </row>
        <row r="32">
          <cell r="A32" t="str">
            <v>Soma(SE)</v>
          </cell>
          <cell r="B32">
            <v>106118</v>
          </cell>
          <cell r="C32">
            <v>110500.33333333333</v>
          </cell>
          <cell r="D32">
            <v>4.1296795391293983</v>
          </cell>
          <cell r="E32">
            <v>98959</v>
          </cell>
          <cell r="F32">
            <v>101813.33333333333</v>
          </cell>
          <cell r="G32">
            <v>2.8843595158937916</v>
          </cell>
          <cell r="H32">
            <v>71907</v>
          </cell>
          <cell r="I32">
            <v>75994</v>
          </cell>
          <cell r="J32">
            <v>5.6837303739552425</v>
          </cell>
          <cell r="K32">
            <v>27.336573732555905</v>
          </cell>
          <cell r="L32">
            <v>25.359481403876373</v>
          </cell>
          <cell r="M32">
            <v>-1.9770923286795323</v>
          </cell>
          <cell r="N32">
            <v>13005</v>
          </cell>
          <cell r="O32">
            <v>13536</v>
          </cell>
          <cell r="P32">
            <v>4.083044982698965</v>
          </cell>
          <cell r="Q32">
            <v>7389</v>
          </cell>
          <cell r="R32">
            <v>7681</v>
          </cell>
          <cell r="S32">
            <v>3.9518202733793544</v>
          </cell>
          <cell r="T32">
            <v>43.183391003460201</v>
          </cell>
          <cell r="U32">
            <v>43.255023640661939</v>
          </cell>
          <cell r="V32">
            <v>7.1632637201737737E-2</v>
          </cell>
          <cell r="W32">
            <v>467122</v>
          </cell>
          <cell r="X32">
            <v>480678</v>
          </cell>
        </row>
        <row r="33">
          <cell r="A33" t="str">
            <v>PR</v>
          </cell>
          <cell r="B33">
            <v>14079</v>
          </cell>
          <cell r="C33">
            <v>14181</v>
          </cell>
          <cell r="D33">
            <v>0.72448327295973058</v>
          </cell>
          <cell r="E33">
            <v>13761</v>
          </cell>
          <cell r="F33">
            <v>13769</v>
          </cell>
          <cell r="G33">
            <v>5.8135309933888379E-2</v>
          </cell>
          <cell r="H33">
            <v>10300</v>
          </cell>
          <cell r="I33">
            <v>9552</v>
          </cell>
          <cell r="J33">
            <v>-7.2621359223300885</v>
          </cell>
          <cell r="K33">
            <v>25.150788460140987</v>
          </cell>
          <cell r="L33">
            <v>30.626770281066158</v>
          </cell>
          <cell r="M33">
            <v>5.4759818209251705</v>
          </cell>
          <cell r="N33">
            <v>2799</v>
          </cell>
          <cell r="O33">
            <v>2791</v>
          </cell>
          <cell r="P33">
            <v>-0.28581636298677893</v>
          </cell>
          <cell r="Q33">
            <v>1500</v>
          </cell>
          <cell r="R33">
            <v>1303</v>
          </cell>
          <cell r="S33">
            <v>-13.133333333333326</v>
          </cell>
          <cell r="T33">
            <v>46.40943193997856</v>
          </cell>
          <cell r="U33">
            <v>53.31422429236833</v>
          </cell>
          <cell r="V33">
            <v>6.9047923523897694</v>
          </cell>
          <cell r="W33">
            <v>78904</v>
          </cell>
          <cell r="X33">
            <v>74309</v>
          </cell>
        </row>
        <row r="34">
          <cell r="A34" t="str">
            <v>RS</v>
          </cell>
          <cell r="B34">
            <v>17463</v>
          </cell>
          <cell r="C34">
            <v>18041</v>
          </cell>
          <cell r="D34">
            <v>3.3098551222584973</v>
          </cell>
          <cell r="E34">
            <v>16877</v>
          </cell>
          <cell r="F34">
            <v>16889</v>
          </cell>
          <cell r="G34">
            <v>7.1102684126330473E-2</v>
          </cell>
          <cell r="H34">
            <v>12750</v>
          </cell>
          <cell r="I34">
            <v>12768</v>
          </cell>
          <cell r="J34">
            <v>0.141176470588249</v>
          </cell>
          <cell r="K34">
            <v>24.453398115778867</v>
          </cell>
          <cell r="L34">
            <v>24.400497365148908</v>
          </cell>
          <cell r="M34">
            <v>-5.2900750629959248E-2</v>
          </cell>
          <cell r="N34">
            <v>2828</v>
          </cell>
          <cell r="O34">
            <v>2927</v>
          </cell>
          <cell r="P34">
            <v>3.5007072135784938</v>
          </cell>
          <cell r="Q34">
            <v>1556</v>
          </cell>
          <cell r="R34">
            <v>1610</v>
          </cell>
          <cell r="S34">
            <v>3.470437017994854</v>
          </cell>
          <cell r="T34">
            <v>44.97878359264498</v>
          </cell>
          <cell r="U34">
            <v>44.994875298940897</v>
          </cell>
          <cell r="V34">
            <v>1.6091706295917163E-2</v>
          </cell>
          <cell r="W34">
            <v>93772</v>
          </cell>
          <cell r="X34">
            <v>94432</v>
          </cell>
        </row>
        <row r="35">
          <cell r="A35" t="str">
            <v>SC</v>
          </cell>
          <cell r="B35">
            <v>11363</v>
          </cell>
          <cell r="C35">
            <v>11914</v>
          </cell>
          <cell r="D35">
            <v>4.849071548006691</v>
          </cell>
          <cell r="E35">
            <v>11143</v>
          </cell>
          <cell r="F35">
            <v>11626</v>
          </cell>
          <cell r="G35">
            <v>4.3345598133357299</v>
          </cell>
          <cell r="H35">
            <v>8610</v>
          </cell>
          <cell r="I35">
            <v>9121</v>
          </cell>
          <cell r="J35">
            <v>5.9349593495934982</v>
          </cell>
          <cell r="K35">
            <v>22.731759849232702</v>
          </cell>
          <cell r="L35">
            <v>21.546533631515558</v>
          </cell>
          <cell r="M35">
            <v>-1.185226217717144</v>
          </cell>
          <cell r="N35">
            <v>1841</v>
          </cell>
          <cell r="O35">
            <v>1905</v>
          </cell>
          <cell r="P35">
            <v>3.4763715372080384</v>
          </cell>
          <cell r="Q35">
            <v>988</v>
          </cell>
          <cell r="R35">
            <v>1022</v>
          </cell>
          <cell r="S35">
            <v>3.4412955465586919</v>
          </cell>
          <cell r="T35">
            <v>46.333514394350892</v>
          </cell>
          <cell r="U35">
            <v>46.351706036745412</v>
          </cell>
          <cell r="V35">
            <v>1.8191642394519647E-2</v>
          </cell>
          <cell r="W35">
            <v>60199</v>
          </cell>
          <cell r="X35">
            <v>61100</v>
          </cell>
        </row>
        <row r="36">
          <cell r="A36" t="str">
            <v>Soma(S)</v>
          </cell>
          <cell r="B36">
            <v>42905</v>
          </cell>
          <cell r="C36">
            <v>44136</v>
          </cell>
          <cell r="D36">
            <v>2.8691294720894973</v>
          </cell>
          <cell r="E36">
            <v>41781</v>
          </cell>
          <cell r="F36">
            <v>42284</v>
          </cell>
          <cell r="G36">
            <v>1.203896507982094</v>
          </cell>
          <cell r="H36">
            <v>31660</v>
          </cell>
          <cell r="I36">
            <v>31441</v>
          </cell>
          <cell r="J36">
            <v>-0.69172457359444195</v>
          </cell>
          <cell r="K36">
            <v>24.223929537349505</v>
          </cell>
          <cell r="L36">
            <v>25.64326932172925</v>
          </cell>
          <cell r="M36">
            <v>1.4193397843797442</v>
          </cell>
          <cell r="N36">
            <v>7468</v>
          </cell>
          <cell r="O36">
            <v>7623</v>
          </cell>
          <cell r="P36">
            <v>2.0755222281735257</v>
          </cell>
          <cell r="Q36">
            <v>4044</v>
          </cell>
          <cell r="R36">
            <v>3935</v>
          </cell>
          <cell r="S36">
            <v>-2.6953511374876342</v>
          </cell>
          <cell r="T36">
            <v>45.848955543652913</v>
          </cell>
          <cell r="U36">
            <v>48.379902925357463</v>
          </cell>
          <cell r="V36">
            <v>2.53094738170455</v>
          </cell>
          <cell r="W36">
            <v>232875</v>
          </cell>
          <cell r="X36">
            <v>229841</v>
          </cell>
        </row>
        <row r="37">
          <cell r="A37" t="str">
            <v xml:space="preserve">TOTAL </v>
          </cell>
          <cell r="B37">
            <v>205822</v>
          </cell>
          <cell r="C37">
            <v>214832.03333333333</v>
          </cell>
          <cell r="D37">
            <v>4.3775851625838413</v>
          </cell>
          <cell r="E37">
            <v>195299</v>
          </cell>
          <cell r="F37">
            <v>201348.03333333333</v>
          </cell>
          <cell r="G37">
            <v>3.0973191533665556</v>
          </cell>
          <cell r="H37">
            <v>141540</v>
          </cell>
          <cell r="I37">
            <v>147431</v>
          </cell>
          <cell r="J37">
            <v>4.1620743252790646</v>
          </cell>
          <cell r="K37">
            <v>27.526510632414912</v>
          </cell>
          <cell r="L37">
            <v>26.778028292967349</v>
          </cell>
          <cell r="M37">
            <v>-0.74848233944756259</v>
          </cell>
          <cell r="N37">
            <v>28484</v>
          </cell>
          <cell r="O37">
            <v>29174</v>
          </cell>
          <cell r="P37">
            <v>2.4224125825024601</v>
          </cell>
          <cell r="Q37">
            <v>14978</v>
          </cell>
          <cell r="R37">
            <v>15267</v>
          </cell>
          <cell r="S37">
            <v>1.9294965950060146</v>
          </cell>
          <cell r="T37">
            <v>47.416093245330714</v>
          </cell>
          <cell r="U37">
            <v>47.669157468979229</v>
          </cell>
          <cell r="V37">
            <v>0.253064223648515</v>
          </cell>
          <cell r="W37">
            <v>930349</v>
          </cell>
          <cell r="X37">
            <v>946291</v>
          </cell>
        </row>
      </sheetData>
      <sheetData sheetId="9" refreshError="1"/>
      <sheetData sheetId="10" refreshError="1"/>
      <sheetData sheetId="11">
        <row r="4">
          <cell r="A4" t="str">
            <v>RR</v>
          </cell>
          <cell r="B4">
            <v>200941.37000000002</v>
          </cell>
          <cell r="C4">
            <v>1192710</v>
          </cell>
          <cell r="D4">
            <v>991768.63</v>
          </cell>
          <cell r="E4">
            <v>17663.713483818698</v>
          </cell>
          <cell r="F4">
            <v>1009432.3434838187</v>
          </cell>
          <cell r="G4">
            <v>17640</v>
          </cell>
          <cell r="H4">
            <v>1027072.3434838187</v>
          </cell>
        </row>
        <row r="5">
          <cell r="A5" t="str">
            <v>AC</v>
          </cell>
          <cell r="B5">
            <v>499139.81999999995</v>
          </cell>
          <cell r="C5">
            <v>1192710</v>
          </cell>
          <cell r="D5">
            <v>693570.18</v>
          </cell>
          <cell r="E5">
            <v>43727.216057432452</v>
          </cell>
          <cell r="F5">
            <v>737297.39605743252</v>
          </cell>
          <cell r="G5">
            <v>17240</v>
          </cell>
          <cell r="H5">
            <v>754537.39605743252</v>
          </cell>
        </row>
        <row r="6">
          <cell r="A6" t="str">
            <v>AP</v>
          </cell>
          <cell r="B6">
            <v>636618.56400000001</v>
          </cell>
          <cell r="C6">
            <v>1192710</v>
          </cell>
          <cell r="D6">
            <v>556091.43599999999</v>
          </cell>
          <cell r="E6">
            <v>55594.014061690017</v>
          </cell>
          <cell r="F6">
            <v>611685.45006169006</v>
          </cell>
          <cell r="G6">
            <v>18040</v>
          </cell>
          <cell r="H6">
            <v>629725.45006169006</v>
          </cell>
        </row>
        <row r="7">
          <cell r="A7" t="str">
            <v>TO</v>
          </cell>
          <cell r="B7">
            <v>843287.91800000006</v>
          </cell>
          <cell r="C7">
            <v>1192710</v>
          </cell>
          <cell r="D7">
            <v>349422.08199999994</v>
          </cell>
          <cell r="E7">
            <v>74016.343321003063</v>
          </cell>
          <cell r="F7">
            <v>423438.42532100301</v>
          </cell>
          <cell r="G7">
            <v>12440</v>
          </cell>
          <cell r="H7">
            <v>435878.42532100301</v>
          </cell>
        </row>
        <row r="8">
          <cell r="A8" t="str">
            <v>MA</v>
          </cell>
        </row>
        <row r="9">
          <cell r="A9" t="str">
            <v>PI</v>
          </cell>
          <cell r="B9">
            <v>1025134.762</v>
          </cell>
          <cell r="C9">
            <v>1242407</v>
          </cell>
          <cell r="D9">
            <v>217272.23800000001</v>
          </cell>
          <cell r="E9">
            <v>89523.140336571523</v>
          </cell>
          <cell r="F9">
            <v>306795.37833657151</v>
          </cell>
          <cell r="G9">
            <v>16840</v>
          </cell>
          <cell r="H9">
            <v>323635.37833657151</v>
          </cell>
        </row>
        <row r="10">
          <cell r="A10" t="str">
            <v>SE</v>
          </cell>
          <cell r="B10">
            <v>1188123.594</v>
          </cell>
          <cell r="C10">
            <v>1242407</v>
          </cell>
          <cell r="D10">
            <v>54283.405999999959</v>
          </cell>
          <cell r="E10">
            <v>104151.98747385811</v>
          </cell>
          <cell r="F10">
            <v>158435.39347385807</v>
          </cell>
          <cell r="G10">
            <v>14440</v>
          </cell>
          <cell r="H10">
            <v>172875.39347385807</v>
          </cell>
        </row>
        <row r="13">
          <cell r="A13" t="str">
            <v>Sub Total</v>
          </cell>
          <cell r="B13">
            <v>4393246.0280000009</v>
          </cell>
          <cell r="C13">
            <v>7255654</v>
          </cell>
          <cell r="D13">
            <v>2862407.9720000001</v>
          </cell>
          <cell r="E13">
            <v>384676.41473437386</v>
          </cell>
          <cell r="F13">
            <v>3247084.3867343739</v>
          </cell>
          <cell r="G13">
            <v>96640</v>
          </cell>
          <cell r="H13">
            <v>3343724.3867343739</v>
          </cell>
        </row>
        <row r="14">
          <cell r="A14" t="str">
            <v>Gestão do Fundo de Apoio (10%)4</v>
          </cell>
          <cell r="D14">
            <v>189600.79720000003</v>
          </cell>
          <cell r="F14">
            <v>0</v>
          </cell>
          <cell r="G14">
            <v>0</v>
          </cell>
          <cell r="H14">
            <v>189600.79720000003</v>
          </cell>
        </row>
        <row r="15">
          <cell r="A15" t="str">
            <v>Total 1</v>
          </cell>
          <cell r="F15">
            <v>3247084.3867343739</v>
          </cell>
          <cell r="G15">
            <v>96640</v>
          </cell>
          <cell r="H15">
            <v>3533325.1839343738</v>
          </cell>
        </row>
        <row r="16">
          <cell r="A16" t="str">
            <v>MA</v>
          </cell>
          <cell r="B16">
            <v>1243874.6639999999</v>
          </cell>
          <cell r="C16">
            <v>1242407</v>
          </cell>
          <cell r="D16">
            <v>-1467.6639999998733</v>
          </cell>
          <cell r="E16">
            <v>108738.85945994173</v>
          </cell>
          <cell r="F16">
            <v>107271.19545994185</v>
          </cell>
          <cell r="G16">
            <v>17240</v>
          </cell>
          <cell r="H16">
            <v>124511.19545994185</v>
          </cell>
        </row>
      </sheetData>
      <sheetData sheetId="12">
        <row r="4">
          <cell r="A4" t="str">
            <v>SP</v>
          </cell>
          <cell r="B4">
            <v>54658046.024000004</v>
          </cell>
          <cell r="C4">
            <v>997466.6695633902</v>
          </cell>
        </row>
        <row r="5">
          <cell r="A5" t="str">
            <v>RS</v>
          </cell>
          <cell r="B5">
            <v>15038687.568000002</v>
          </cell>
          <cell r="C5">
            <v>274444.30773230823</v>
          </cell>
        </row>
        <row r="6">
          <cell r="A6" t="str">
            <v>PR</v>
          </cell>
          <cell r="B6">
            <v>11604275.961999999</v>
          </cell>
          <cell r="C6">
            <v>211768.97709494023</v>
          </cell>
        </row>
        <row r="7">
          <cell r="A7" t="str">
            <v>MG</v>
          </cell>
          <cell r="B7">
            <v>11451285.126</v>
          </cell>
          <cell r="C7">
            <v>208977.01377463364</v>
          </cell>
        </row>
        <row r="8">
          <cell r="A8" t="str">
            <v>RJ</v>
          </cell>
          <cell r="B8">
            <v>12378289.412</v>
          </cell>
          <cell r="C8">
            <v>225894.11830159381</v>
          </cell>
        </row>
        <row r="9">
          <cell r="A9" t="str">
            <v>SC</v>
          </cell>
          <cell r="B9">
            <v>9996964.7720000017</v>
          </cell>
          <cell r="C9">
            <v>182436.80267111809</v>
          </cell>
        </row>
        <row r="10">
          <cell r="A10" t="str">
            <v>MT</v>
          </cell>
          <cell r="B10">
            <v>4472583.3719999995</v>
          </cell>
          <cell r="C10">
            <v>81621.154888239675</v>
          </cell>
        </row>
        <row r="11">
          <cell r="A11" t="str">
            <v>GO</v>
          </cell>
          <cell r="B11">
            <v>4630274.75</v>
          </cell>
          <cell r="C11">
            <v>84498.899430433084</v>
          </cell>
        </row>
        <row r="12">
          <cell r="A12" t="str">
            <v>DF</v>
          </cell>
          <cell r="B12">
            <v>3993633.9599999995</v>
          </cell>
          <cell r="C12">
            <v>72880.70202486412</v>
          </cell>
        </row>
        <row r="13">
          <cell r="A13" t="str">
            <v>BA</v>
          </cell>
          <cell r="B13">
            <v>3996390.8820000002</v>
          </cell>
          <cell r="C13">
            <v>72931.013699093732</v>
          </cell>
        </row>
        <row r="14">
          <cell r="A14" t="str">
            <v>MS</v>
          </cell>
          <cell r="B14">
            <v>3271733.81</v>
          </cell>
          <cell r="C14">
            <v>59706.587859465071</v>
          </cell>
        </row>
        <row r="15">
          <cell r="A15" t="str">
            <v>PE</v>
          </cell>
          <cell r="B15">
            <v>3563859.6460000006</v>
          </cell>
          <cell r="C15">
            <v>65037.65631003493</v>
          </cell>
        </row>
        <row r="16">
          <cell r="A16" t="str">
            <v>ES</v>
          </cell>
          <cell r="B16">
            <v>3137923.5380000002</v>
          </cell>
          <cell r="C16">
            <v>57264.654858299888</v>
          </cell>
        </row>
        <row r="17">
          <cell r="A17" t="str">
            <v>CE</v>
          </cell>
          <cell r="B17">
            <v>2505306.6920000003</v>
          </cell>
          <cell r="C17">
            <v>45719.891289323386</v>
          </cell>
        </row>
        <row r="18">
          <cell r="A18" t="str">
            <v>PB</v>
          </cell>
          <cell r="B18">
            <v>1996613.2280000001</v>
          </cell>
          <cell r="C18">
            <v>36436.63269749692</v>
          </cell>
        </row>
        <row r="19">
          <cell r="A19" t="str">
            <v>RN</v>
          </cell>
          <cell r="B19">
            <v>1930315.5560000001</v>
          </cell>
          <cell r="C19">
            <v>35226.751940680093</v>
          </cell>
        </row>
        <row r="20">
          <cell r="A20" t="str">
            <v>PA</v>
          </cell>
          <cell r="B20">
            <v>1773670.7180000003</v>
          </cell>
          <cell r="C20">
            <v>32368.105936475167</v>
          </cell>
        </row>
        <row r="21">
          <cell r="A21" t="str">
            <v>RO</v>
          </cell>
          <cell r="B21">
            <v>1505351.2719999999</v>
          </cell>
          <cell r="C21">
            <v>27471.485518262714</v>
          </cell>
        </row>
        <row r="22">
          <cell r="A22" t="str">
            <v>AL</v>
          </cell>
          <cell r="B22">
            <v>1401930.0119999999</v>
          </cell>
          <cell r="C22">
            <v>25584.128262041868</v>
          </cell>
        </row>
        <row r="23">
          <cell r="A23" t="str">
            <v>AM</v>
          </cell>
          <cell r="B23">
            <v>1406114.8239999998</v>
          </cell>
          <cell r="C23">
            <v>25660.497814048096</v>
          </cell>
        </row>
        <row r="24">
          <cell r="A24" t="str">
            <v>SE</v>
          </cell>
          <cell r="B24">
            <v>1188123.594</v>
          </cell>
          <cell r="C24">
            <v>21682.328047667306</v>
          </cell>
        </row>
        <row r="25">
          <cell r="A25" t="str">
            <v>MA</v>
          </cell>
          <cell r="B25">
            <v>1243874.6639999999</v>
          </cell>
          <cell r="C25">
            <v>22699.741551492109</v>
          </cell>
        </row>
        <row r="26">
          <cell r="A26" t="str">
            <v>PI</v>
          </cell>
          <cell r="B26">
            <v>1025134.762</v>
          </cell>
          <cell r="C26">
            <v>18707.909105583629</v>
          </cell>
        </row>
        <row r="27">
          <cell r="A27" t="str">
            <v>TO</v>
          </cell>
          <cell r="B27">
            <v>843287.91800000006</v>
          </cell>
          <cell r="C27">
            <v>15389.346166549039</v>
          </cell>
        </row>
        <row r="28">
          <cell r="A28" t="str">
            <v>AP</v>
          </cell>
          <cell r="B28">
            <v>636618.56400000001</v>
          </cell>
          <cell r="C28">
            <v>11617.791798420327</v>
          </cell>
        </row>
        <row r="29">
          <cell r="A29" t="str">
            <v>AC</v>
          </cell>
          <cell r="B29">
            <v>499139.81999999995</v>
          </cell>
          <cell r="C29">
            <v>9108.9120471532424</v>
          </cell>
        </row>
        <row r="30">
          <cell r="A30" t="str">
            <v>RR</v>
          </cell>
          <cell r="B30">
            <v>200941.37000000002</v>
          </cell>
          <cell r="C30">
            <v>3667.0231318440547</v>
          </cell>
        </row>
        <row r="31">
          <cell r="A31" t="str">
            <v>Soma CAU/UF</v>
          </cell>
          <cell r="B31">
            <v>160350371.81600001</v>
          </cell>
          <cell r="C31">
            <v>2926269.1035154527</v>
          </cell>
        </row>
        <row r="32">
          <cell r="A32" t="str">
            <v xml:space="preserve"> CAU/BR </v>
          </cell>
          <cell r="B32">
            <v>40087592.954000004</v>
          </cell>
          <cell r="C32">
            <v>731567.27587886318</v>
          </cell>
        </row>
        <row r="33">
          <cell r="A33" t="str">
            <v>TOTAL</v>
          </cell>
          <cell r="B33">
            <v>200437964.77000001</v>
          </cell>
          <cell r="C33">
            <v>3657836.3793943161</v>
          </cell>
        </row>
      </sheetData>
      <sheetData sheetId="13">
        <row r="4">
          <cell r="A4" t="str">
            <v>AC</v>
          </cell>
          <cell r="B4">
            <v>499139.81999999995</v>
          </cell>
          <cell r="C4">
            <v>180.83605743244351</v>
          </cell>
          <cell r="D4">
            <v>39070.160000000003</v>
          </cell>
          <cell r="E4">
            <v>4476.22</v>
          </cell>
          <cell r="F4">
            <v>43727.216057432452</v>
          </cell>
        </row>
        <row r="5">
          <cell r="A5" t="str">
            <v>AM</v>
          </cell>
          <cell r="B5">
            <v>1406114.8239999998</v>
          </cell>
          <cell r="C5">
            <v>122.84021173293388</v>
          </cell>
          <cell r="D5">
            <v>110063.62</v>
          </cell>
          <cell r="E5">
            <v>12609.86</v>
          </cell>
          <cell r="F5">
            <v>122796.32021173293</v>
          </cell>
        </row>
        <row r="6">
          <cell r="A6" t="str">
            <v>AP</v>
          </cell>
          <cell r="B6">
            <v>636618.56400000001</v>
          </cell>
          <cell r="C6">
            <v>53.594061690019181</v>
          </cell>
          <cell r="D6">
            <v>49831.31</v>
          </cell>
          <cell r="E6">
            <v>5709.11</v>
          </cell>
          <cell r="F6">
            <v>55594.014061690017</v>
          </cell>
        </row>
        <row r="7">
          <cell r="A7" t="str">
            <v>PA</v>
          </cell>
          <cell r="B7">
            <v>1773670.7180000003</v>
          </cell>
          <cell r="C7">
            <v>354.09776844430104</v>
          </cell>
          <cell r="D7">
            <v>138834.04999999999</v>
          </cell>
          <cell r="E7">
            <v>15906.05</v>
          </cell>
          <cell r="F7">
            <v>155094.19776844428</v>
          </cell>
        </row>
        <row r="8">
          <cell r="A8" t="str">
            <v>RO</v>
          </cell>
          <cell r="B8">
            <v>1505351.2719999999</v>
          </cell>
          <cell r="C8">
            <v>399.45019198889133</v>
          </cell>
          <cell r="D8">
            <v>117831.35</v>
          </cell>
          <cell r="E8">
            <v>13499.8</v>
          </cell>
          <cell r="F8">
            <v>131730.60019198889</v>
          </cell>
        </row>
        <row r="9">
          <cell r="A9" t="str">
            <v>RR</v>
          </cell>
          <cell r="B9">
            <v>200941.37000000002</v>
          </cell>
          <cell r="C9">
            <v>133.01348381869767</v>
          </cell>
          <cell r="D9">
            <v>15728.68</v>
          </cell>
          <cell r="E9">
            <v>1802.02</v>
          </cell>
          <cell r="F9">
            <v>17663.713483818698</v>
          </cell>
        </row>
        <row r="10">
          <cell r="A10" t="str">
            <v>TO</v>
          </cell>
          <cell r="B10">
            <v>843287.91800000006</v>
          </cell>
          <cell r="C10">
            <v>445.49332100305588</v>
          </cell>
          <cell r="D10">
            <v>66008.350000000006</v>
          </cell>
          <cell r="E10">
            <v>7562.5</v>
          </cell>
          <cell r="F10">
            <v>74016.343321003063</v>
          </cell>
        </row>
        <row r="11">
          <cell r="A11" t="str">
            <v>Soma (N)</v>
          </cell>
          <cell r="B11">
            <v>6865124.4859999996</v>
          </cell>
          <cell r="C11">
            <v>1689.3250961103427</v>
          </cell>
          <cell r="D11">
            <v>537367.52</v>
          </cell>
          <cell r="E11">
            <v>61565.57</v>
          </cell>
          <cell r="F11">
            <v>600622.41509611032</v>
          </cell>
        </row>
        <row r="12">
          <cell r="A12" t="str">
            <v>AL</v>
          </cell>
          <cell r="B12">
            <v>1401930.0119999999</v>
          </cell>
          <cell r="C12">
            <v>397.90488483662341</v>
          </cell>
          <cell r="D12">
            <v>109736.05</v>
          </cell>
          <cell r="E12">
            <v>12572.33</v>
          </cell>
          <cell r="F12">
            <v>122706.28488483663</v>
          </cell>
        </row>
        <row r="13">
          <cell r="A13" t="str">
            <v>BA</v>
          </cell>
          <cell r="B13">
            <v>3996390.8820000002</v>
          </cell>
          <cell r="C13">
            <v>1761.5916192235993</v>
          </cell>
          <cell r="D13">
            <v>312817.45</v>
          </cell>
          <cell r="E13">
            <v>35839.129999999997</v>
          </cell>
          <cell r="F13">
            <v>350418.17161922361</v>
          </cell>
        </row>
        <row r="14">
          <cell r="A14" t="str">
            <v>CE</v>
          </cell>
          <cell r="B14">
            <v>2505306.6920000003</v>
          </cell>
          <cell r="C14">
            <v>1141.3615212906116</v>
          </cell>
          <cell r="D14">
            <v>196102.85</v>
          </cell>
          <cell r="E14">
            <v>22467.27</v>
          </cell>
          <cell r="F14">
            <v>219711.48152129061</v>
          </cell>
        </row>
        <row r="15">
          <cell r="A15" t="str">
            <v>MA</v>
          </cell>
          <cell r="B15">
            <v>1243874.6639999999</v>
          </cell>
          <cell r="C15">
            <v>219.67945994172348</v>
          </cell>
          <cell r="D15">
            <v>97364.27</v>
          </cell>
          <cell r="E15">
            <v>11154.91</v>
          </cell>
          <cell r="F15">
            <v>108738.85945994173</v>
          </cell>
        </row>
        <row r="16">
          <cell r="A16" t="str">
            <v>PB</v>
          </cell>
          <cell r="B16">
            <v>1996613.2280000001</v>
          </cell>
          <cell r="C16">
            <v>739.37093799837078</v>
          </cell>
          <cell r="D16">
            <v>156284.88</v>
          </cell>
          <cell r="E16">
            <v>17905.37</v>
          </cell>
          <cell r="F16">
            <v>174929.62093799838</v>
          </cell>
        </row>
        <row r="17">
          <cell r="A17" t="str">
            <v>PE</v>
          </cell>
          <cell r="B17">
            <v>3563859.6460000006</v>
          </cell>
          <cell r="C17">
            <v>1957.6231969866769</v>
          </cell>
          <cell r="D17">
            <v>278961.07</v>
          </cell>
          <cell r="E17">
            <v>31960.240000000002</v>
          </cell>
          <cell r="F17">
            <v>312878.93319698668</v>
          </cell>
        </row>
        <row r="18">
          <cell r="A18" t="str">
            <v>PI</v>
          </cell>
          <cell r="B18">
            <v>1025134.762</v>
          </cell>
          <cell r="C18">
            <v>87.450336571525384</v>
          </cell>
          <cell r="D18">
            <v>80242.41</v>
          </cell>
          <cell r="E18">
            <v>9193.2800000000007</v>
          </cell>
          <cell r="F18">
            <v>89523.140336571523</v>
          </cell>
        </row>
        <row r="19">
          <cell r="A19" t="str">
            <v>RN</v>
          </cell>
          <cell r="B19">
            <v>1930315.5560000001</v>
          </cell>
          <cell r="C19">
            <v>824.65550318224814</v>
          </cell>
          <cell r="D19">
            <v>151095.43</v>
          </cell>
          <cell r="E19">
            <v>17310.830000000002</v>
          </cell>
          <cell r="F19">
            <v>169230.91550318222</v>
          </cell>
        </row>
        <row r="20">
          <cell r="A20" t="str">
            <v>SE</v>
          </cell>
          <cell r="B20">
            <v>1188123.594</v>
          </cell>
          <cell r="C20">
            <v>496.68747385811355</v>
          </cell>
          <cell r="D20">
            <v>93000.36</v>
          </cell>
          <cell r="E20">
            <v>10654.94</v>
          </cell>
          <cell r="F20">
            <v>104151.98747385811</v>
          </cell>
        </row>
        <row r="21">
          <cell r="A21" t="str">
            <v>Soma (NE)</v>
          </cell>
          <cell r="B21">
            <v>18851549.036000002</v>
          </cell>
          <cell r="C21">
            <v>7626.324933889493</v>
          </cell>
          <cell r="D21">
            <v>1475604.77</v>
          </cell>
          <cell r="E21">
            <v>169058.3</v>
          </cell>
          <cell r="F21">
            <v>1652289.3949338896</v>
          </cell>
        </row>
        <row r="22">
          <cell r="A22" t="str">
            <v>DF</v>
          </cell>
          <cell r="B22">
            <v>3993633.9599999995</v>
          </cell>
          <cell r="C22">
            <v>6386.4969091312641</v>
          </cell>
          <cell r="D22">
            <v>312601.65000000002</v>
          </cell>
          <cell r="E22">
            <v>35814.400000000001</v>
          </cell>
          <cell r="F22">
            <v>354802.54690913128</v>
          </cell>
        </row>
        <row r="23">
          <cell r="A23" t="str">
            <v>GO</v>
          </cell>
          <cell r="B23">
            <v>4630274.75</v>
          </cell>
          <cell r="C23">
            <v>1789.9222503485112</v>
          </cell>
          <cell r="D23">
            <v>362434.7</v>
          </cell>
          <cell r="E23">
            <v>41523.72</v>
          </cell>
          <cell r="F23">
            <v>405748.34225034853</v>
          </cell>
        </row>
        <row r="24">
          <cell r="A24" t="str">
            <v>MS</v>
          </cell>
          <cell r="B24">
            <v>3271733.81</v>
          </cell>
          <cell r="C24">
            <v>895.07234046172925</v>
          </cell>
          <cell r="D24">
            <v>256094.92</v>
          </cell>
          <cell r="E24">
            <v>29340.49</v>
          </cell>
          <cell r="F24">
            <v>286330.48234046175</v>
          </cell>
        </row>
        <row r="25">
          <cell r="A25" t="str">
            <v>MT</v>
          </cell>
          <cell r="B25">
            <v>4472583.3719999995</v>
          </cell>
          <cell r="C25">
            <v>1919.1075869036363</v>
          </cell>
          <cell r="D25">
            <v>350091.41</v>
          </cell>
          <cell r="E25">
            <v>40109.56</v>
          </cell>
          <cell r="F25">
            <v>392120.07758690359</v>
          </cell>
        </row>
        <row r="26">
          <cell r="A26" t="str">
            <v>Soma (CO)</v>
          </cell>
          <cell r="B26">
            <v>16368225.891999999</v>
          </cell>
          <cell r="C26">
            <v>10990.599086845141</v>
          </cell>
          <cell r="D26">
            <v>1281222.6800000002</v>
          </cell>
          <cell r="E26">
            <v>146788.18</v>
          </cell>
          <cell r="F26">
            <v>1439001.4590868452</v>
          </cell>
        </row>
        <row r="27">
          <cell r="A27" t="str">
            <v>ES</v>
          </cell>
          <cell r="B27">
            <v>3137923.5380000002</v>
          </cell>
          <cell r="C27">
            <v>1417.0817792467783</v>
          </cell>
          <cell r="D27">
            <v>245620.93</v>
          </cell>
          <cell r="E27">
            <v>28140.5</v>
          </cell>
          <cell r="F27">
            <v>275178.51177924674</v>
          </cell>
        </row>
        <row r="28">
          <cell r="A28" t="str">
            <v>MG</v>
          </cell>
          <cell r="B28">
            <v>11451285.126</v>
          </cell>
          <cell r="C28">
            <v>8538.50101487746</v>
          </cell>
          <cell r="D28">
            <v>896349.2</v>
          </cell>
          <cell r="E28">
            <v>102693.67</v>
          </cell>
          <cell r="F28">
            <v>1007581.3710148775</v>
          </cell>
        </row>
        <row r="29">
          <cell r="A29" t="str">
            <v>RJ</v>
          </cell>
          <cell r="B29">
            <v>12378289.412</v>
          </cell>
          <cell r="C29">
            <v>16367.8582362047</v>
          </cell>
          <cell r="D29">
            <v>968910.45</v>
          </cell>
          <cell r="E29">
            <v>111006.93</v>
          </cell>
          <cell r="F29">
            <v>1096285.2382362047</v>
          </cell>
        </row>
        <row r="30">
          <cell r="A30" t="str">
            <v>SP</v>
          </cell>
          <cell r="B30">
            <v>54658046.024000004</v>
          </cell>
          <cell r="C30">
            <v>44919.398042656663</v>
          </cell>
          <cell r="D30">
            <v>4278357.87</v>
          </cell>
          <cell r="E30">
            <v>490166.43</v>
          </cell>
          <cell r="F30">
            <v>4813443.6980426563</v>
          </cell>
        </row>
        <row r="31">
          <cell r="A31" t="str">
            <v>Soma (SE)</v>
          </cell>
          <cell r="B31">
            <v>81625544.100000009</v>
          </cell>
          <cell r="C31">
            <v>71242.839072985604</v>
          </cell>
          <cell r="D31">
            <v>6389238.4500000002</v>
          </cell>
          <cell r="E31">
            <v>732007.54</v>
          </cell>
          <cell r="F31">
            <v>7192488.8290729858</v>
          </cell>
        </row>
        <row r="32">
          <cell r="A32" t="str">
            <v>PR</v>
          </cell>
          <cell r="B32">
            <v>11604275.961999999</v>
          </cell>
          <cell r="C32">
            <v>5825.5621197303753</v>
          </cell>
          <cell r="D32">
            <v>908324.56</v>
          </cell>
          <cell r="E32">
            <v>104065.68</v>
          </cell>
          <cell r="F32">
            <v>1018215.8021197305</v>
          </cell>
        </row>
        <row r="33">
          <cell r="A33" t="str">
            <v>RS</v>
          </cell>
          <cell r="B33">
            <v>15038687.568000002</v>
          </cell>
          <cell r="C33">
            <v>5538.8022811333849</v>
          </cell>
          <cell r="D33">
            <v>1177153.08</v>
          </cell>
          <cell r="E33">
            <v>134865.04</v>
          </cell>
          <cell r="F33">
            <v>1317556.9222811335</v>
          </cell>
        </row>
        <row r="34">
          <cell r="A34" t="str">
            <v>SC</v>
          </cell>
          <cell r="B34">
            <v>9996964.7720000017</v>
          </cell>
          <cell r="C34">
            <v>4158.1874093056567</v>
          </cell>
          <cell r="D34">
            <v>782512.29</v>
          </cell>
          <cell r="E34">
            <v>89651.51</v>
          </cell>
          <cell r="F34">
            <v>876321.98740930576</v>
          </cell>
        </row>
        <row r="35">
          <cell r="A35" t="str">
            <v>Soma (S)</v>
          </cell>
          <cell r="B35">
            <v>36639928.302000001</v>
          </cell>
          <cell r="C35">
            <v>15522.551810169418</v>
          </cell>
          <cell r="D35">
            <v>2867989.93</v>
          </cell>
          <cell r="E35">
            <v>328582.24</v>
          </cell>
          <cell r="F35">
            <v>3212094.7218101695</v>
          </cell>
        </row>
        <row r="36">
          <cell r="A36" t="str">
            <v>Soma CAU/UF</v>
          </cell>
          <cell r="B36">
            <v>160350371.81599998</v>
          </cell>
          <cell r="C36">
            <v>107071.64</v>
          </cell>
          <cell r="D36">
            <v>12551423.360200001</v>
          </cell>
          <cell r="E36">
            <v>1438001.82</v>
          </cell>
          <cell r="F36">
            <v>14096496.820200002</v>
          </cell>
        </row>
        <row r="37">
          <cell r="A37" t="str">
            <v xml:space="preserve"> CAU/BR </v>
          </cell>
          <cell r="B37">
            <v>40087592.954000004</v>
          </cell>
          <cell r="C37">
            <v>0</v>
          </cell>
          <cell r="D37">
            <v>3137855.84</v>
          </cell>
          <cell r="E37">
            <v>359500.46</v>
          </cell>
          <cell r="F37">
            <v>3497356.3</v>
          </cell>
        </row>
        <row r="38">
          <cell r="A38" t="str">
            <v>TOTAL</v>
          </cell>
          <cell r="B38">
            <v>200437964.76999998</v>
          </cell>
          <cell r="C38">
            <v>107071.64</v>
          </cell>
          <cell r="D38">
            <v>15689279.200200001</v>
          </cell>
          <cell r="E38">
            <v>1797502.28</v>
          </cell>
          <cell r="F38">
            <v>17593853.120200001</v>
          </cell>
        </row>
      </sheetData>
      <sheetData sheetId="14" refreshError="1"/>
      <sheetData sheetId="15" refreshError="1"/>
      <sheetData sheetId="16">
        <row r="10">
          <cell r="A10" t="str">
            <v>TO</v>
          </cell>
          <cell r="C10">
            <v>5193.9456658119079</v>
          </cell>
        </row>
        <row r="11">
          <cell r="A11" t="str">
            <v>Soma (N)</v>
          </cell>
          <cell r="C11">
            <v>5193.9456658119079</v>
          </cell>
        </row>
        <row r="12">
          <cell r="A12" t="str">
            <v>AL</v>
          </cell>
          <cell r="C12">
            <v>0</v>
          </cell>
        </row>
        <row r="13">
          <cell r="A13" t="str">
            <v>CE</v>
          </cell>
          <cell r="C13">
            <v>17423.81414516392</v>
          </cell>
        </row>
        <row r="14">
          <cell r="A14" t="str">
            <v>MA</v>
          </cell>
          <cell r="C14">
            <v>0</v>
          </cell>
        </row>
        <row r="15">
          <cell r="A15" t="str">
            <v>PB</v>
          </cell>
          <cell r="C15">
            <v>15265.447867322171</v>
          </cell>
        </row>
        <row r="16">
          <cell r="A16" t="str">
            <v>PE</v>
          </cell>
          <cell r="C16">
            <v>0</v>
          </cell>
        </row>
        <row r="17">
          <cell r="A17" t="str">
            <v>PI</v>
          </cell>
          <cell r="C17">
            <v>0</v>
          </cell>
        </row>
        <row r="18">
          <cell r="A18" t="str">
            <v>RN</v>
          </cell>
          <cell r="C18">
            <v>0</v>
          </cell>
        </row>
        <row r="19">
          <cell r="A19" t="str">
            <v>SE</v>
          </cell>
          <cell r="C19">
            <v>8095.1841845333583</v>
          </cell>
        </row>
        <row r="20">
          <cell r="A20" t="str">
            <v>Soma (NE)</v>
          </cell>
          <cell r="C20">
            <v>40784.446197019446</v>
          </cell>
        </row>
        <row r="21">
          <cell r="A21" t="str">
            <v>DF</v>
          </cell>
          <cell r="C21">
            <v>0</v>
          </cell>
        </row>
        <row r="22">
          <cell r="A22" t="str">
            <v>GO</v>
          </cell>
          <cell r="C22">
            <v>0</v>
          </cell>
        </row>
        <row r="23">
          <cell r="A23" t="str">
            <v>MS</v>
          </cell>
          <cell r="C23">
            <v>0</v>
          </cell>
        </row>
        <row r="24">
          <cell r="A24" t="str">
            <v>MT</v>
          </cell>
          <cell r="C24">
            <v>0</v>
          </cell>
        </row>
        <row r="25">
          <cell r="A25" t="str">
            <v>Soma (CO)</v>
          </cell>
          <cell r="C25">
            <v>0</v>
          </cell>
        </row>
        <row r="26">
          <cell r="A26" t="str">
            <v>ES</v>
          </cell>
          <cell r="C26">
            <v>0</v>
          </cell>
        </row>
        <row r="27">
          <cell r="A27" t="str">
            <v>MG</v>
          </cell>
          <cell r="C27">
            <v>0</v>
          </cell>
        </row>
        <row r="28">
          <cell r="A28" t="str">
            <v>RJ</v>
          </cell>
          <cell r="C28">
            <v>157897.52974945167</v>
          </cell>
        </row>
      </sheetData>
      <sheetData sheetId="17" refreshError="1"/>
      <sheetData sheetId="18">
        <row r="3">
          <cell r="A3" t="str">
            <v>AC</v>
          </cell>
          <cell r="B3">
            <v>10273.946515360003</v>
          </cell>
          <cell r="C3">
            <v>12626.988988380002</v>
          </cell>
          <cell r="D3">
            <v>2525.3977976760007</v>
          </cell>
        </row>
        <row r="4">
          <cell r="A4" t="str">
            <v>AM</v>
          </cell>
          <cell r="B4">
            <v>22947.530154450003</v>
          </cell>
          <cell r="C4">
            <v>28043.709373550002</v>
          </cell>
          <cell r="D4">
            <v>5608.741874710001</v>
          </cell>
        </row>
        <row r="5">
          <cell r="A5" t="str">
            <v>AP</v>
          </cell>
          <cell r="B5">
            <v>11167.568300680001</v>
          </cell>
          <cell r="C5">
            <v>13844.908558260004</v>
          </cell>
          <cell r="D5">
            <v>2768.9817116520007</v>
          </cell>
        </row>
        <row r="6">
          <cell r="A6" t="str">
            <v>PA</v>
          </cell>
          <cell r="B6">
            <v>32012.009496720006</v>
          </cell>
          <cell r="C6">
            <v>39362.573664050004</v>
          </cell>
          <cell r="D6">
            <v>7872.5147328100011</v>
          </cell>
        </row>
        <row r="7">
          <cell r="A7" t="str">
            <v xml:space="preserve">RO </v>
          </cell>
          <cell r="B7">
            <v>30055.276262000007</v>
          </cell>
          <cell r="C7">
            <v>28965.655895670003</v>
          </cell>
          <cell r="D7">
            <v>5793.1311791340013</v>
          </cell>
        </row>
        <row r="8">
          <cell r="A8" t="str">
            <v>RR</v>
          </cell>
          <cell r="B8">
            <v>3201.8552060000006</v>
          </cell>
          <cell r="C8">
            <v>3678.6778762500012</v>
          </cell>
          <cell r="D8">
            <v>735.73557525000024</v>
          </cell>
        </row>
        <row r="9">
          <cell r="A9" t="str">
            <v>TO</v>
          </cell>
          <cell r="B9">
            <v>15478.551646360003</v>
          </cell>
          <cell r="C9">
            <v>16706.353031810002</v>
          </cell>
          <cell r="D9">
            <v>3341.2706063620008</v>
          </cell>
        </row>
        <row r="10">
          <cell r="A10" t="str">
            <v>Soma (N)</v>
          </cell>
          <cell r="B10">
            <v>125136.73758157004</v>
          </cell>
          <cell r="C10">
            <v>143228.86738797001</v>
          </cell>
          <cell r="D10">
            <v>28645.773477594004</v>
          </cell>
        </row>
        <row r="11">
          <cell r="A11" t="str">
            <v>AL</v>
          </cell>
          <cell r="B11">
            <v>24653.017609880008</v>
          </cell>
          <cell r="C11">
            <v>29867.25615003</v>
          </cell>
          <cell r="D11">
            <v>5973.4512300060005</v>
          </cell>
        </row>
        <row r="12">
          <cell r="A12" t="str">
            <v>BA</v>
          </cell>
          <cell r="B12">
            <v>51714.570028000002</v>
          </cell>
          <cell r="C12">
            <v>67545.173877739988</v>
          </cell>
          <cell r="D12">
            <v>13509.034775547998</v>
          </cell>
        </row>
        <row r="13">
          <cell r="A13" t="str">
            <v>CE</v>
          </cell>
          <cell r="B13">
            <v>31191.999608000009</v>
          </cell>
          <cell r="C13">
            <v>44469.674799159999</v>
          </cell>
          <cell r="D13">
            <v>8893.9349598320005</v>
          </cell>
        </row>
        <row r="14">
          <cell r="A14" t="str">
            <v>MA</v>
          </cell>
          <cell r="B14">
            <v>15425.545366000002</v>
          </cell>
          <cell r="C14">
            <v>20239.625253120004</v>
          </cell>
          <cell r="D14">
            <v>4047.925050624001</v>
          </cell>
        </row>
        <row r="15">
          <cell r="A15" t="str">
            <v>PB</v>
          </cell>
          <cell r="B15">
            <v>33239.418734280007</v>
          </cell>
          <cell r="C15">
            <v>42986.176298259998</v>
          </cell>
          <cell r="D15">
            <v>8597.2352596519995</v>
          </cell>
        </row>
        <row r="16">
          <cell r="A16" t="str">
            <v>PE</v>
          </cell>
          <cell r="B16">
            <v>53804.788313320008</v>
          </cell>
          <cell r="C16">
            <v>68513.337999470008</v>
          </cell>
          <cell r="D16">
            <v>13702.667599894003</v>
          </cell>
        </row>
        <row r="17">
          <cell r="A17" t="str">
            <v>PI</v>
          </cell>
          <cell r="B17">
            <v>11533.63673</v>
          </cell>
          <cell r="C17">
            <v>16466.59531868</v>
          </cell>
          <cell r="D17">
            <v>3293.3190637360003</v>
          </cell>
        </row>
        <row r="18">
          <cell r="A18" t="str">
            <v>RN</v>
          </cell>
          <cell r="B18">
            <v>30959.995155320004</v>
          </cell>
          <cell r="C18">
            <v>37237.140392530004</v>
          </cell>
          <cell r="D18">
            <v>7447.4280785060009</v>
          </cell>
        </row>
        <row r="19">
          <cell r="A19" t="str">
            <v>SE</v>
          </cell>
          <cell r="B19">
            <v>22335.928703440008</v>
          </cell>
          <cell r="C19">
            <v>22133.907884139997</v>
          </cell>
          <cell r="D19">
            <v>4426.7815768279997</v>
          </cell>
        </row>
        <row r="20">
          <cell r="A20" t="str">
            <v>Soma (NE)</v>
          </cell>
          <cell r="B20">
            <v>274858.90024824004</v>
          </cell>
          <cell r="C20">
            <v>349458.88797312998</v>
          </cell>
          <cell r="D20">
            <v>69891.777594626008</v>
          </cell>
        </row>
        <row r="21">
          <cell r="A21" t="str">
            <v>DF</v>
          </cell>
          <cell r="B21">
            <v>69949.862541680006</v>
          </cell>
          <cell r="C21">
            <v>74430.443598549988</v>
          </cell>
          <cell r="D21">
            <v>14886.088719709998</v>
          </cell>
        </row>
        <row r="22">
          <cell r="A22" t="str">
            <v>GO</v>
          </cell>
          <cell r="B22">
            <v>95109.689942520024</v>
          </cell>
          <cell r="C22">
            <v>101222.83244787999</v>
          </cell>
          <cell r="D22">
            <v>20244.566489575998</v>
          </cell>
        </row>
        <row r="23">
          <cell r="A23" t="str">
            <v>MS</v>
          </cell>
          <cell r="B23">
            <v>66082.205218920019</v>
          </cell>
          <cell r="C23">
            <v>70943.464147790015</v>
          </cell>
          <cell r="D23">
            <v>14188.692829558004</v>
          </cell>
        </row>
        <row r="24">
          <cell r="A24" t="str">
            <v>MT</v>
          </cell>
          <cell r="B24">
            <v>90660.765789000026</v>
          </cell>
          <cell r="C24">
            <v>92696.869262139982</v>
          </cell>
          <cell r="D24">
            <v>18539.373852427998</v>
          </cell>
        </row>
        <row r="25">
          <cell r="A25" t="str">
            <v>Soma (CO)</v>
          </cell>
          <cell r="B25">
            <v>321802.52349212009</v>
          </cell>
          <cell r="C25">
            <v>339293.60945635999</v>
          </cell>
          <cell r="D25">
            <v>67858.721891271998</v>
          </cell>
        </row>
        <row r="26">
          <cell r="A26" t="str">
            <v>ES</v>
          </cell>
          <cell r="B26">
            <v>53915.499520079997</v>
          </cell>
          <cell r="C26">
            <v>59986.848617150019</v>
          </cell>
          <cell r="D26">
            <v>11997.369723430005</v>
          </cell>
        </row>
        <row r="27">
          <cell r="A27" t="str">
            <v>MG</v>
          </cell>
          <cell r="B27">
            <v>220423.00919759995</v>
          </cell>
          <cell r="C27">
            <v>238732.60702122003</v>
          </cell>
          <cell r="D27">
            <v>47746.521404244006</v>
          </cell>
        </row>
        <row r="28">
          <cell r="A28" t="str">
            <v>RJ</v>
          </cell>
          <cell r="B28">
            <v>151303.79888580006</v>
          </cell>
          <cell r="C28">
            <v>194237.56202981004</v>
          </cell>
          <cell r="D28">
            <v>38847.512405962007</v>
          </cell>
        </row>
        <row r="29">
          <cell r="A29" t="str">
            <v>SP</v>
          </cell>
          <cell r="B29">
            <v>806720.69195300003</v>
          </cell>
          <cell r="C29">
            <v>971258.49588963017</v>
          </cell>
          <cell r="D29">
            <v>194251.69917792606</v>
          </cell>
        </row>
        <row r="30">
          <cell r="A30" t="str">
            <v>Soma (SE)</v>
          </cell>
          <cell r="B30">
            <v>1232362.99955648</v>
          </cell>
          <cell r="C30">
            <v>1464215.5135578103</v>
          </cell>
          <cell r="D30">
            <v>292843.10271156207</v>
          </cell>
        </row>
        <row r="31">
          <cell r="A31" t="str">
            <v>PR</v>
          </cell>
          <cell r="B31">
            <v>266324.62000135204</v>
          </cell>
          <cell r="C31">
            <v>277880.01639801008</v>
          </cell>
          <cell r="D31">
            <v>55576.003279602017</v>
          </cell>
        </row>
        <row r="32">
          <cell r="A32" t="str">
            <v>RS</v>
          </cell>
          <cell r="B32">
            <v>288444.07268600015</v>
          </cell>
          <cell r="C32">
            <v>330970.34471033013</v>
          </cell>
          <cell r="D32">
            <v>66194.068942066035</v>
          </cell>
        </row>
        <row r="33">
          <cell r="A33" t="str">
            <v>SC</v>
          </cell>
          <cell r="B33">
            <v>197522.77843672005</v>
          </cell>
          <cell r="C33">
            <v>205803.09975992001</v>
          </cell>
          <cell r="D33">
            <v>41160.619951984001</v>
          </cell>
        </row>
        <row r="34">
          <cell r="A34" t="str">
            <v>Soma (S)</v>
          </cell>
          <cell r="B34">
            <v>752291.47112407221</v>
          </cell>
          <cell r="C34">
            <v>814653.46086826024</v>
          </cell>
          <cell r="D34">
            <v>162930.69217365206</v>
          </cell>
        </row>
        <row r="35">
          <cell r="A35" t="str">
            <v>Soma CAU/UF</v>
          </cell>
          <cell r="B35">
            <v>2706452.6320024827</v>
          </cell>
          <cell r="C35">
            <v>3110850.3392435308</v>
          </cell>
          <cell r="D35">
            <v>622170.06784870615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onstrativos 2020"/>
      <sheetName val="Demonstrativos (2)"/>
    </sheetNames>
    <sheetDataSet>
      <sheetData sheetId="0">
        <row r="6">
          <cell r="A6" t="str">
            <v>AC</v>
          </cell>
          <cell r="B6">
            <v>978773.19</v>
          </cell>
          <cell r="C6">
            <v>0</v>
          </cell>
          <cell r="D6">
            <v>811356.82</v>
          </cell>
          <cell r="E6">
            <v>0</v>
          </cell>
          <cell r="F6">
            <v>1084650.1100000001</v>
          </cell>
          <cell r="G6">
            <v>903622.42</v>
          </cell>
          <cell r="H6">
            <v>949922.82</v>
          </cell>
          <cell r="I6">
            <v>126023.94</v>
          </cell>
          <cell r="J6">
            <v>62435.71</v>
          </cell>
          <cell r="K6">
            <v>0</v>
          </cell>
          <cell r="L6">
            <v>1013511.05</v>
          </cell>
          <cell r="M6">
            <v>574550.11</v>
          </cell>
          <cell r="N6">
            <v>732116.46</v>
          </cell>
          <cell r="O6">
            <v>1010905.87</v>
          </cell>
          <cell r="P6">
            <v>990905.87</v>
          </cell>
          <cell r="Q6">
            <v>505048.81</v>
          </cell>
          <cell r="R6">
            <v>30055.47</v>
          </cell>
          <cell r="S6">
            <v>0</v>
          </cell>
          <cell r="T6">
            <v>0</v>
          </cell>
          <cell r="U6">
            <v>167416.37</v>
          </cell>
          <cell r="V6">
            <v>197471.83999999997</v>
          </cell>
          <cell r="W6">
            <v>167416.37</v>
          </cell>
          <cell r="X6">
            <v>181027.69000000006</v>
          </cell>
          <cell r="Y6">
            <v>669680.75</v>
          </cell>
        </row>
        <row r="7">
          <cell r="A7" t="str">
            <v>AL</v>
          </cell>
          <cell r="B7">
            <v>1232952.55</v>
          </cell>
          <cell r="C7">
            <v>0</v>
          </cell>
          <cell r="D7">
            <v>1020468.41</v>
          </cell>
          <cell r="E7">
            <v>688</v>
          </cell>
          <cell r="F7">
            <v>1527298.6</v>
          </cell>
          <cell r="G7">
            <v>1108782.44</v>
          </cell>
          <cell r="H7">
            <v>1287698.23</v>
          </cell>
          <cell r="I7">
            <v>760473.78</v>
          </cell>
          <cell r="J7">
            <v>42830.42</v>
          </cell>
          <cell r="K7">
            <v>0</v>
          </cell>
          <cell r="L7">
            <v>2005341.5899999999</v>
          </cell>
          <cell r="M7">
            <v>326613.36</v>
          </cell>
          <cell r="N7">
            <v>562393.9</v>
          </cell>
          <cell r="O7">
            <v>1171655.42</v>
          </cell>
          <cell r="P7">
            <v>1166655.42</v>
          </cell>
          <cell r="Q7">
            <v>622829.93000000005</v>
          </cell>
          <cell r="R7">
            <v>0</v>
          </cell>
          <cell r="S7">
            <v>60000</v>
          </cell>
          <cell r="T7">
            <v>0</v>
          </cell>
          <cell r="U7">
            <v>211796.14</v>
          </cell>
          <cell r="V7">
            <v>211796.14</v>
          </cell>
          <cell r="W7">
            <v>212484.14</v>
          </cell>
          <cell r="X7">
            <v>418516.16000000015</v>
          </cell>
          <cell r="Y7">
            <v>459563.48000000004</v>
          </cell>
        </row>
        <row r="8">
          <cell r="A8" t="str">
            <v>AM</v>
          </cell>
          <cell r="B8">
            <v>1241396.67</v>
          </cell>
          <cell r="C8">
            <v>0</v>
          </cell>
          <cell r="D8">
            <v>956882.46</v>
          </cell>
          <cell r="E8">
            <v>3756.83</v>
          </cell>
          <cell r="F8">
            <v>1463185.74</v>
          </cell>
          <cell r="G8">
            <v>1072854.67</v>
          </cell>
          <cell r="H8">
            <v>1723675.64</v>
          </cell>
          <cell r="I8">
            <v>212206.62</v>
          </cell>
          <cell r="J8">
            <v>75196.09</v>
          </cell>
          <cell r="K8">
            <v>0</v>
          </cell>
          <cell r="L8">
            <v>1860686.17</v>
          </cell>
          <cell r="M8">
            <v>853165.82</v>
          </cell>
          <cell r="N8">
            <v>1059255.3700000001</v>
          </cell>
          <cell r="O8">
            <v>1068946.6200000001</v>
          </cell>
          <cell r="P8">
            <v>1059146.6200000001</v>
          </cell>
          <cell r="Q8">
            <v>619869.86</v>
          </cell>
          <cell r="R8">
            <v>0</v>
          </cell>
          <cell r="S8">
            <v>0</v>
          </cell>
          <cell r="T8">
            <v>0</v>
          </cell>
          <cell r="U8">
            <v>280757.38</v>
          </cell>
          <cell r="V8">
            <v>280757.38</v>
          </cell>
          <cell r="W8">
            <v>284514.20999999996</v>
          </cell>
          <cell r="X8">
            <v>390331.07000000007</v>
          </cell>
          <cell r="Y8">
            <v>984059.28000000014</v>
          </cell>
        </row>
        <row r="9">
          <cell r="A9" t="str">
            <v>AP</v>
          </cell>
          <cell r="B9">
            <v>1038921.88</v>
          </cell>
          <cell r="C9">
            <v>0</v>
          </cell>
          <cell r="D9">
            <v>785057.71</v>
          </cell>
          <cell r="E9">
            <v>0</v>
          </cell>
          <cell r="F9">
            <v>1223891.3799999999</v>
          </cell>
          <cell r="G9">
            <v>826987.88</v>
          </cell>
          <cell r="H9">
            <v>1202391.98</v>
          </cell>
          <cell r="I9">
            <v>600585.04</v>
          </cell>
          <cell r="J9">
            <v>59267.76</v>
          </cell>
          <cell r="K9">
            <v>0</v>
          </cell>
          <cell r="L9">
            <v>1743709.26</v>
          </cell>
          <cell r="M9">
            <v>652916.73</v>
          </cell>
          <cell r="N9">
            <v>889023.08</v>
          </cell>
          <cell r="O9">
            <v>1000166.43</v>
          </cell>
          <cell r="P9">
            <v>988166.43</v>
          </cell>
          <cell r="Q9">
            <v>534649.97</v>
          </cell>
          <cell r="R9">
            <v>14809.21</v>
          </cell>
          <cell r="S9">
            <v>0</v>
          </cell>
          <cell r="T9">
            <v>0</v>
          </cell>
          <cell r="U9">
            <v>253864.17000000004</v>
          </cell>
          <cell r="V9">
            <v>268673.38000000012</v>
          </cell>
          <cell r="W9">
            <v>253864.17000000004</v>
          </cell>
          <cell r="X9">
            <v>396903.49999999988</v>
          </cell>
          <cell r="Y9">
            <v>829755.32</v>
          </cell>
        </row>
        <row r="10">
          <cell r="A10" t="str">
            <v>BA</v>
          </cell>
          <cell r="B10">
            <v>3454832.83</v>
          </cell>
          <cell r="C10">
            <v>0</v>
          </cell>
          <cell r="D10">
            <v>2151451.59</v>
          </cell>
          <cell r="E10">
            <v>15148</v>
          </cell>
          <cell r="F10">
            <v>4257378.78</v>
          </cell>
          <cell r="G10">
            <v>2466338.5</v>
          </cell>
          <cell r="H10">
            <v>8150127.0899999999</v>
          </cell>
          <cell r="I10">
            <v>357324.03</v>
          </cell>
          <cell r="J10">
            <v>289864.38</v>
          </cell>
          <cell r="K10">
            <v>0</v>
          </cell>
          <cell r="L10">
            <v>8217586.7400000002</v>
          </cell>
          <cell r="M10">
            <v>5137764.32</v>
          </cell>
          <cell r="N10">
            <v>6656763.6900000004</v>
          </cell>
          <cell r="O10">
            <v>2866289.87</v>
          </cell>
          <cell r="P10">
            <v>2836289.87</v>
          </cell>
          <cell r="Q10">
            <v>1594503.58</v>
          </cell>
          <cell r="R10">
            <v>0</v>
          </cell>
          <cell r="S10">
            <v>51922.5</v>
          </cell>
          <cell r="T10">
            <v>0</v>
          </cell>
          <cell r="U10">
            <v>1288233.2400000002</v>
          </cell>
          <cell r="V10">
            <v>1288233.2400000002</v>
          </cell>
          <cell r="W10">
            <v>1303381.2400000002</v>
          </cell>
          <cell r="X10">
            <v>1791040.2800000003</v>
          </cell>
          <cell r="Y10">
            <v>6314976.8100000005</v>
          </cell>
        </row>
        <row r="11">
          <cell r="A11" t="str">
            <v>CE</v>
          </cell>
          <cell r="B11">
            <v>2050345.81</v>
          </cell>
          <cell r="C11">
            <v>0</v>
          </cell>
          <cell r="D11">
            <v>1793009.97</v>
          </cell>
          <cell r="E11">
            <v>33292.07</v>
          </cell>
          <cell r="F11">
            <v>2215731.67</v>
          </cell>
          <cell r="G11">
            <v>1648539.46</v>
          </cell>
          <cell r="H11">
            <v>2445257.73</v>
          </cell>
          <cell r="I11">
            <v>158622.21</v>
          </cell>
          <cell r="J11">
            <v>185592.41</v>
          </cell>
          <cell r="K11">
            <v>2051.8000000000002</v>
          </cell>
          <cell r="L11">
            <v>2416235.73</v>
          </cell>
          <cell r="M11">
            <v>1215480.8400000001</v>
          </cell>
          <cell r="N11">
            <v>1578097.27</v>
          </cell>
          <cell r="O11">
            <v>2025319.23</v>
          </cell>
          <cell r="P11">
            <v>2044266.58</v>
          </cell>
          <cell r="Q11">
            <v>1226756.6000000001</v>
          </cell>
          <cell r="R11">
            <v>0</v>
          </cell>
          <cell r="S11">
            <v>205100</v>
          </cell>
          <cell r="T11">
            <v>105</v>
          </cell>
          <cell r="U11">
            <v>224043.77000000002</v>
          </cell>
          <cell r="V11">
            <v>224043.77000000002</v>
          </cell>
          <cell r="W11">
            <v>257335.84000000008</v>
          </cell>
          <cell r="X11">
            <v>567192.21</v>
          </cell>
          <cell r="Y11">
            <v>1187299.8600000001</v>
          </cell>
        </row>
        <row r="12">
          <cell r="A12" t="str">
            <v>DF</v>
          </cell>
          <cell r="B12">
            <v>3530642.54</v>
          </cell>
          <cell r="C12">
            <v>0</v>
          </cell>
          <cell r="D12">
            <v>2961158.13</v>
          </cell>
          <cell r="E12">
            <v>994956.11</v>
          </cell>
          <cell r="F12">
            <v>4292084.75</v>
          </cell>
          <cell r="G12">
            <v>3596089.73</v>
          </cell>
          <cell r="H12">
            <v>2846742.21</v>
          </cell>
          <cell r="I12">
            <v>1882602.73</v>
          </cell>
          <cell r="J12">
            <v>302714.06</v>
          </cell>
          <cell r="K12">
            <v>0</v>
          </cell>
          <cell r="L12">
            <v>4422630.88</v>
          </cell>
          <cell r="M12">
            <v>1861351</v>
          </cell>
          <cell r="N12">
            <v>1697822.2</v>
          </cell>
          <cell r="O12">
            <v>3211385.33</v>
          </cell>
          <cell r="P12">
            <v>3249106.63</v>
          </cell>
          <cell r="Q12">
            <v>1847377.09</v>
          </cell>
          <cell r="R12">
            <v>0</v>
          </cell>
          <cell r="S12">
            <v>374404.28</v>
          </cell>
          <cell r="T12">
            <v>0</v>
          </cell>
          <cell r="U12">
            <v>-425471.69999999972</v>
          </cell>
          <cell r="V12">
            <v>-425471.69999999972</v>
          </cell>
          <cell r="W12">
            <v>569484.41000000015</v>
          </cell>
          <cell r="X12">
            <v>695995.02</v>
          </cell>
          <cell r="Y12">
            <v>1020703.8599999999</v>
          </cell>
        </row>
        <row r="13">
          <cell r="A13" t="str">
            <v>ES</v>
          </cell>
          <cell r="B13">
            <v>2592986.4300000002</v>
          </cell>
          <cell r="C13">
            <v>0</v>
          </cell>
          <cell r="D13">
            <v>2016598.02</v>
          </cell>
          <cell r="E13">
            <v>8434</v>
          </cell>
          <cell r="F13">
            <v>2838894.52</v>
          </cell>
          <cell r="G13">
            <v>2157568.39</v>
          </cell>
          <cell r="H13">
            <v>2849086.05</v>
          </cell>
          <cell r="I13">
            <v>233413.04</v>
          </cell>
          <cell r="J13">
            <v>237456.77</v>
          </cell>
          <cell r="K13">
            <v>0</v>
          </cell>
          <cell r="L13">
            <v>2845042.32</v>
          </cell>
          <cell r="M13">
            <v>1744928.28</v>
          </cell>
          <cell r="N13">
            <v>2343872.7599999998</v>
          </cell>
          <cell r="O13">
            <v>2491483.12</v>
          </cell>
          <cell r="P13">
            <v>2456483.12</v>
          </cell>
          <cell r="Q13">
            <v>1323989.18</v>
          </cell>
          <cell r="R13">
            <v>0</v>
          </cell>
          <cell r="S13">
            <v>21233.34</v>
          </cell>
          <cell r="T13">
            <v>0</v>
          </cell>
          <cell r="U13">
            <v>567954.41000000015</v>
          </cell>
          <cell r="V13">
            <v>567954.41000000015</v>
          </cell>
          <cell r="W13">
            <v>576388.41000000015</v>
          </cell>
          <cell r="X13">
            <v>681326.12999999989</v>
          </cell>
          <cell r="Y13">
            <v>2085182.6499999997</v>
          </cell>
        </row>
        <row r="14">
          <cell r="A14" t="str">
            <v>GO</v>
          </cell>
          <cell r="B14">
            <v>4002082.27</v>
          </cell>
          <cell r="C14">
            <v>0</v>
          </cell>
          <cell r="D14">
            <v>2823433.91</v>
          </cell>
          <cell r="E14">
            <v>58369.63</v>
          </cell>
          <cell r="F14">
            <v>4551799.74</v>
          </cell>
          <cell r="G14">
            <v>3252818.05</v>
          </cell>
          <cell r="H14">
            <v>3787031.29</v>
          </cell>
          <cell r="I14">
            <v>2329825.85</v>
          </cell>
          <cell r="J14">
            <v>302075.14</v>
          </cell>
          <cell r="K14">
            <v>10392.209999999999</v>
          </cell>
          <cell r="L14">
            <v>5804389.79</v>
          </cell>
          <cell r="M14">
            <v>1189699</v>
          </cell>
          <cell r="N14">
            <v>2472301.44</v>
          </cell>
          <cell r="O14">
            <v>3296036</v>
          </cell>
          <cell r="P14">
            <v>3295636</v>
          </cell>
          <cell r="Q14">
            <v>1863190.03</v>
          </cell>
          <cell r="R14">
            <v>0</v>
          </cell>
          <cell r="S14">
            <v>154314.5</v>
          </cell>
          <cell r="T14">
            <v>0</v>
          </cell>
          <cell r="U14">
            <v>1120278.73</v>
          </cell>
          <cell r="V14">
            <v>1120278.73</v>
          </cell>
          <cell r="W14">
            <v>1178648.3599999999</v>
          </cell>
          <cell r="X14">
            <v>1298981.6900000004</v>
          </cell>
          <cell r="Y14">
            <v>2015911.7999999998</v>
          </cell>
        </row>
        <row r="15">
          <cell r="A15" t="str">
            <v>MA</v>
          </cell>
          <cell r="B15">
            <v>1212982.17</v>
          </cell>
          <cell r="C15">
            <v>0</v>
          </cell>
          <cell r="D15">
            <v>1052036.28</v>
          </cell>
          <cell r="E15">
            <v>13520</v>
          </cell>
          <cell r="F15">
            <v>1495133.16</v>
          </cell>
          <cell r="G15">
            <v>1304445.54</v>
          </cell>
          <cell r="H15">
            <v>646735.44999999995</v>
          </cell>
          <cell r="I15">
            <v>370288.29</v>
          </cell>
          <cell r="J15">
            <v>129228.68</v>
          </cell>
          <cell r="K15">
            <v>0</v>
          </cell>
          <cell r="L15">
            <v>887795.05999999994</v>
          </cell>
          <cell r="M15">
            <v>48589.91</v>
          </cell>
          <cell r="N15">
            <v>196547.11</v>
          </cell>
          <cell r="O15">
            <v>1148553.8600000001</v>
          </cell>
          <cell r="P15">
            <v>1126766.3500000001</v>
          </cell>
          <cell r="Q15">
            <v>667917.18000000005</v>
          </cell>
          <cell r="R15">
            <v>0</v>
          </cell>
          <cell r="S15">
            <v>0</v>
          </cell>
          <cell r="T15">
            <v>0</v>
          </cell>
          <cell r="U15">
            <v>147425.8899999999</v>
          </cell>
          <cell r="V15">
            <v>147425.8899999999</v>
          </cell>
          <cell r="W15">
            <v>160945.8899999999</v>
          </cell>
          <cell r="X15">
            <v>190687.61999999988</v>
          </cell>
          <cell r="Y15">
            <v>67318.429999999993</v>
          </cell>
        </row>
        <row r="16">
          <cell r="A16" t="str">
            <v>MG</v>
          </cell>
          <cell r="B16">
            <v>10326854</v>
          </cell>
          <cell r="C16">
            <v>0</v>
          </cell>
          <cell r="D16">
            <v>7006836.8099999996</v>
          </cell>
          <cell r="E16">
            <v>1699</v>
          </cell>
          <cell r="F16">
            <v>11477778.560000001</v>
          </cell>
          <cell r="G16">
            <v>7718927.0300000003</v>
          </cell>
          <cell r="H16">
            <v>13794536.65</v>
          </cell>
          <cell r="I16">
            <v>217015.83</v>
          </cell>
          <cell r="J16">
            <v>770508.4</v>
          </cell>
          <cell r="K16">
            <v>65350</v>
          </cell>
          <cell r="L16">
            <v>13175694.08</v>
          </cell>
          <cell r="M16">
            <v>6765524.3099999996</v>
          </cell>
          <cell r="N16">
            <v>10061787.939999999</v>
          </cell>
          <cell r="O16">
            <v>9279185.9800000004</v>
          </cell>
          <cell r="P16">
            <v>9174154.8800000008</v>
          </cell>
          <cell r="Q16">
            <v>4292388.7</v>
          </cell>
          <cell r="R16">
            <v>0</v>
          </cell>
          <cell r="S16">
            <v>0</v>
          </cell>
          <cell r="T16">
            <v>0</v>
          </cell>
          <cell r="U16">
            <v>3318318.1900000004</v>
          </cell>
          <cell r="V16">
            <v>3318318.1900000004</v>
          </cell>
          <cell r="W16">
            <v>3320017.1900000004</v>
          </cell>
          <cell r="X16">
            <v>3758851.5300000003</v>
          </cell>
          <cell r="Y16">
            <v>9291279.5399999991</v>
          </cell>
        </row>
        <row r="17">
          <cell r="A17" t="str">
            <v>MS</v>
          </cell>
          <cell r="B17">
            <v>2718177.3</v>
          </cell>
          <cell r="C17">
            <v>0</v>
          </cell>
          <cell r="D17">
            <v>2281383.7000000002</v>
          </cell>
          <cell r="E17">
            <v>20566.400000000001</v>
          </cell>
          <cell r="F17">
            <v>3341133.51</v>
          </cell>
          <cell r="G17">
            <v>2802841.46</v>
          </cell>
          <cell r="H17">
            <v>2083168.26</v>
          </cell>
          <cell r="I17">
            <v>655993.38</v>
          </cell>
          <cell r="J17">
            <v>307016.51</v>
          </cell>
          <cell r="K17">
            <v>0</v>
          </cell>
          <cell r="L17">
            <v>2432145.13</v>
          </cell>
          <cell r="M17">
            <v>586710.06000000006</v>
          </cell>
          <cell r="N17">
            <v>1044183.59</v>
          </cell>
          <cell r="O17">
            <v>2429192.9900000002</v>
          </cell>
          <cell r="P17">
            <v>2470932.46</v>
          </cell>
          <cell r="Q17">
            <v>1169315.46</v>
          </cell>
          <cell r="R17">
            <v>0</v>
          </cell>
          <cell r="S17">
            <v>21386.51</v>
          </cell>
          <cell r="T17">
            <v>0</v>
          </cell>
          <cell r="U17">
            <v>416227.19999999972</v>
          </cell>
          <cell r="V17">
            <v>416227.19999999972</v>
          </cell>
          <cell r="W17">
            <v>436793.59999999963</v>
          </cell>
          <cell r="X17">
            <v>538292.04999999981</v>
          </cell>
          <cell r="Y17">
            <v>715780.57</v>
          </cell>
        </row>
        <row r="18">
          <cell r="A18" t="str">
            <v>MT</v>
          </cell>
          <cell r="B18">
            <v>3708941.44</v>
          </cell>
          <cell r="C18">
            <v>0</v>
          </cell>
          <cell r="D18">
            <v>2601941.2200000002</v>
          </cell>
          <cell r="E18">
            <v>68837.17</v>
          </cell>
          <cell r="F18">
            <v>4120554.01</v>
          </cell>
          <cell r="G18">
            <v>2878371.66</v>
          </cell>
          <cell r="H18">
            <v>2974045.01</v>
          </cell>
          <cell r="I18">
            <v>1849318.15</v>
          </cell>
          <cell r="J18">
            <v>117686.52</v>
          </cell>
          <cell r="K18">
            <v>162630.94</v>
          </cell>
          <cell r="L18">
            <v>4543045.7</v>
          </cell>
          <cell r="M18">
            <v>967982.22</v>
          </cell>
          <cell r="N18">
            <v>2003094.07</v>
          </cell>
          <cell r="O18">
            <v>3424511.65</v>
          </cell>
          <cell r="P18">
            <v>3600943.06</v>
          </cell>
          <cell r="Q18">
            <v>1304745.25</v>
          </cell>
          <cell r="R18">
            <v>0</v>
          </cell>
          <cell r="S18">
            <v>48434</v>
          </cell>
          <cell r="T18">
            <v>0</v>
          </cell>
          <cell r="U18">
            <v>1038163.0499999998</v>
          </cell>
          <cell r="V18">
            <v>1038163.0499999998</v>
          </cell>
          <cell r="W18">
            <v>1107000.2199999997</v>
          </cell>
          <cell r="X18">
            <v>1242182.3499999996</v>
          </cell>
          <cell r="Y18">
            <v>1836973.55</v>
          </cell>
        </row>
        <row r="19">
          <cell r="A19" t="str">
            <v>PA</v>
          </cell>
          <cell r="B19">
            <v>1639966.33</v>
          </cell>
          <cell r="C19">
            <v>0</v>
          </cell>
          <cell r="D19">
            <v>1241333.3</v>
          </cell>
          <cell r="E19">
            <v>19692.7</v>
          </cell>
          <cell r="F19">
            <v>2193025.38</v>
          </cell>
          <cell r="G19">
            <v>1720990.3</v>
          </cell>
          <cell r="H19">
            <v>2451115.16</v>
          </cell>
          <cell r="I19">
            <v>1044025.74</v>
          </cell>
          <cell r="J19">
            <v>113897.14</v>
          </cell>
          <cell r="K19">
            <v>0</v>
          </cell>
          <cell r="L19">
            <v>3381243.76</v>
          </cell>
          <cell r="M19">
            <v>1043434.65</v>
          </cell>
          <cell r="N19">
            <v>1427496.1</v>
          </cell>
          <cell r="O19">
            <v>1299067.47</v>
          </cell>
          <cell r="P19">
            <v>1299067.47</v>
          </cell>
          <cell r="Q19">
            <v>760806.02</v>
          </cell>
          <cell r="R19">
            <v>0</v>
          </cell>
          <cell r="S19">
            <v>0</v>
          </cell>
          <cell r="T19">
            <v>0</v>
          </cell>
          <cell r="U19">
            <v>378940.33000000007</v>
          </cell>
          <cell r="V19">
            <v>378940.33000000007</v>
          </cell>
          <cell r="W19">
            <v>398633.03</v>
          </cell>
          <cell r="X19">
            <v>472035.07999999984</v>
          </cell>
          <cell r="Y19">
            <v>1313598.9600000002</v>
          </cell>
        </row>
        <row r="20">
          <cell r="A20" t="str">
            <v>PB</v>
          </cell>
          <cell r="B20">
            <v>1738806.61</v>
          </cell>
          <cell r="C20">
            <v>0</v>
          </cell>
          <cell r="D20">
            <v>1268888.1100000001</v>
          </cell>
          <cell r="E20">
            <v>13740</v>
          </cell>
          <cell r="F20">
            <v>2147388.5299999998</v>
          </cell>
          <cell r="G20">
            <v>1309772.3600000001</v>
          </cell>
          <cell r="H20">
            <v>2266273.1</v>
          </cell>
          <cell r="I20">
            <v>78678.87</v>
          </cell>
          <cell r="J20">
            <v>89650.74</v>
          </cell>
          <cell r="K20">
            <v>15000</v>
          </cell>
          <cell r="L20">
            <v>2240301.23</v>
          </cell>
          <cell r="M20">
            <v>922378.88</v>
          </cell>
          <cell r="N20">
            <v>1378135.26</v>
          </cell>
          <cell r="O20">
            <v>1232272.78</v>
          </cell>
          <cell r="P20">
            <v>1422651.66</v>
          </cell>
          <cell r="Q20">
            <v>842664.59</v>
          </cell>
          <cell r="R20">
            <v>0</v>
          </cell>
          <cell r="S20">
            <v>0</v>
          </cell>
          <cell r="T20">
            <v>0</v>
          </cell>
          <cell r="U20">
            <v>456178.5</v>
          </cell>
          <cell r="V20">
            <v>456178.5</v>
          </cell>
          <cell r="W20">
            <v>469918.5</v>
          </cell>
          <cell r="X20">
            <v>837616.16999999969</v>
          </cell>
          <cell r="Y20">
            <v>1288484.52</v>
          </cell>
        </row>
        <row r="21">
          <cell r="A21" t="str">
            <v>PE</v>
          </cell>
          <cell r="B21">
            <v>2943446.82</v>
          </cell>
          <cell r="C21">
            <v>0</v>
          </cell>
          <cell r="D21">
            <v>2613657.85</v>
          </cell>
          <cell r="E21">
            <v>0</v>
          </cell>
          <cell r="F21">
            <v>3147576.8</v>
          </cell>
          <cell r="G21">
            <v>2800473.4</v>
          </cell>
          <cell r="H21">
            <v>2341240.9500000002</v>
          </cell>
          <cell r="I21">
            <v>200633.49</v>
          </cell>
          <cell r="J21">
            <v>330011.31</v>
          </cell>
          <cell r="K21">
            <v>0</v>
          </cell>
          <cell r="L21">
            <v>2211863.13</v>
          </cell>
          <cell r="M21">
            <v>793889.42</v>
          </cell>
          <cell r="N21">
            <v>1111398.71</v>
          </cell>
          <cell r="O21">
            <v>2846692.76</v>
          </cell>
          <cell r="P21">
            <v>2846692.76</v>
          </cell>
          <cell r="Q21">
            <v>1425738.55</v>
          </cell>
          <cell r="R21">
            <v>0</v>
          </cell>
          <cell r="S21">
            <v>0</v>
          </cell>
          <cell r="T21">
            <v>0</v>
          </cell>
          <cell r="U21">
            <v>329788.96999999974</v>
          </cell>
          <cell r="V21">
            <v>329788.96999999974</v>
          </cell>
          <cell r="W21">
            <v>329788.96999999974</v>
          </cell>
          <cell r="X21">
            <v>347103.39999999991</v>
          </cell>
          <cell r="Y21">
            <v>781387.39999999991</v>
          </cell>
        </row>
        <row r="22">
          <cell r="A22" t="str">
            <v>PI</v>
          </cell>
          <cell r="B22">
            <v>1079212.19</v>
          </cell>
          <cell r="C22">
            <v>0</v>
          </cell>
          <cell r="D22">
            <v>949433.08</v>
          </cell>
          <cell r="E22">
            <v>0</v>
          </cell>
          <cell r="F22">
            <v>1251040.42</v>
          </cell>
          <cell r="G22">
            <v>1085098.58</v>
          </cell>
          <cell r="H22">
            <v>499880.94</v>
          </cell>
          <cell r="I22">
            <v>223313.72</v>
          </cell>
          <cell r="J22">
            <v>96582.95</v>
          </cell>
          <cell r="K22">
            <v>0</v>
          </cell>
          <cell r="L22">
            <v>626611.71</v>
          </cell>
          <cell r="M22">
            <v>69920.56</v>
          </cell>
          <cell r="N22">
            <v>198763.41</v>
          </cell>
          <cell r="O22">
            <v>967998.82</v>
          </cell>
          <cell r="P22">
            <v>967998.82</v>
          </cell>
          <cell r="Q22">
            <v>636026.77</v>
          </cell>
          <cell r="R22">
            <v>6734.37</v>
          </cell>
          <cell r="S22">
            <v>0</v>
          </cell>
          <cell r="T22">
            <v>0</v>
          </cell>
          <cell r="U22">
            <v>129779.10999999999</v>
          </cell>
          <cell r="V22">
            <v>136513.4800000001</v>
          </cell>
          <cell r="W22">
            <v>129779.10999999999</v>
          </cell>
          <cell r="X22">
            <v>165941.83999999985</v>
          </cell>
          <cell r="Y22">
            <v>102180.46</v>
          </cell>
        </row>
        <row r="23">
          <cell r="A23" t="str">
            <v>PR</v>
          </cell>
          <cell r="B23">
            <v>11440515.41</v>
          </cell>
          <cell r="C23">
            <v>0</v>
          </cell>
          <cell r="D23">
            <v>8533386.6500000004</v>
          </cell>
          <cell r="E23">
            <v>68167.009999999995</v>
          </cell>
          <cell r="F23">
            <v>12720743</v>
          </cell>
          <cell r="G23">
            <v>9510350.8699999992</v>
          </cell>
          <cell r="H23">
            <v>17684062.649999999</v>
          </cell>
          <cell r="I23">
            <v>5929496.5700000003</v>
          </cell>
          <cell r="J23">
            <v>998855.31</v>
          </cell>
          <cell r="K23">
            <v>0</v>
          </cell>
          <cell r="L23">
            <v>22614703.91</v>
          </cell>
          <cell r="M23">
            <v>12336999.210000001</v>
          </cell>
          <cell r="N23">
            <v>15075623.26</v>
          </cell>
          <cell r="O23">
            <v>10305550.449999999</v>
          </cell>
          <cell r="P23">
            <v>10305550.449999999</v>
          </cell>
          <cell r="Q23">
            <v>4927779.68</v>
          </cell>
          <cell r="R23">
            <v>0</v>
          </cell>
          <cell r="S23">
            <v>185618.9</v>
          </cell>
          <cell r="T23">
            <v>13000</v>
          </cell>
          <cell r="U23">
            <v>2838961.75</v>
          </cell>
          <cell r="V23">
            <v>2838961.75</v>
          </cell>
          <cell r="W23">
            <v>2907128.76</v>
          </cell>
          <cell r="X23">
            <v>3210392.1300000008</v>
          </cell>
          <cell r="Y23">
            <v>13878149.049999999</v>
          </cell>
        </row>
        <row r="24">
          <cell r="A24" t="str">
            <v>RJ</v>
          </cell>
          <cell r="B24">
            <v>10251251.6</v>
          </cell>
          <cell r="C24">
            <v>0</v>
          </cell>
          <cell r="D24">
            <v>9505178.7200000007</v>
          </cell>
          <cell r="E24">
            <v>1509.21</v>
          </cell>
          <cell r="F24">
            <v>13164815.32</v>
          </cell>
          <cell r="G24">
            <v>9980989.7799999993</v>
          </cell>
          <cell r="H24">
            <v>11648752.300000001</v>
          </cell>
          <cell r="I24">
            <v>10417776.130000001</v>
          </cell>
          <cell r="J24">
            <v>1472931.88</v>
          </cell>
          <cell r="K24">
            <v>61933.11</v>
          </cell>
          <cell r="L24">
            <v>20531663.440000001</v>
          </cell>
          <cell r="M24">
            <v>7479123.2300000004</v>
          </cell>
          <cell r="N24">
            <v>7415886.79</v>
          </cell>
          <cell r="O24">
            <v>8780322.0099999998</v>
          </cell>
          <cell r="P24">
            <v>10203112.85</v>
          </cell>
          <cell r="Q24">
            <v>5924389.2800000003</v>
          </cell>
          <cell r="R24">
            <v>0</v>
          </cell>
          <cell r="S24">
            <v>0</v>
          </cell>
          <cell r="T24">
            <v>0</v>
          </cell>
          <cell r="U24">
            <v>744563.66999999806</v>
          </cell>
          <cell r="V24">
            <v>744563.66999999806</v>
          </cell>
          <cell r="W24">
            <v>746072.87999999896</v>
          </cell>
          <cell r="X24">
            <v>3183825.540000001</v>
          </cell>
          <cell r="Y24">
            <v>5942954.9100000001</v>
          </cell>
        </row>
        <row r="25">
          <cell r="A25" t="str">
            <v>RN</v>
          </cell>
          <cell r="B25">
            <v>1570186.73</v>
          </cell>
          <cell r="C25">
            <v>0</v>
          </cell>
          <cell r="D25">
            <v>1272751.75</v>
          </cell>
          <cell r="E25">
            <v>8143.44</v>
          </cell>
          <cell r="F25">
            <v>1895977.86</v>
          </cell>
          <cell r="G25">
            <v>1310507.01</v>
          </cell>
          <cell r="H25">
            <v>2125444.2000000002</v>
          </cell>
          <cell r="I25">
            <v>847440.98</v>
          </cell>
          <cell r="J25">
            <v>138451.01</v>
          </cell>
          <cell r="K25">
            <v>0</v>
          </cell>
          <cell r="L25">
            <v>2834434.17</v>
          </cell>
          <cell r="M25">
            <v>1018193.05</v>
          </cell>
          <cell r="N25">
            <v>1323412.1299999999</v>
          </cell>
          <cell r="O25">
            <v>1403515.82</v>
          </cell>
          <cell r="P25">
            <v>1380144.66</v>
          </cell>
          <cell r="Q25">
            <v>831400.59</v>
          </cell>
          <cell r="R25">
            <v>0</v>
          </cell>
          <cell r="S25">
            <v>56408.21</v>
          </cell>
          <cell r="T25">
            <v>2560.13</v>
          </cell>
          <cell r="U25">
            <v>289291.54000000004</v>
          </cell>
          <cell r="V25">
            <v>289291.54000000004</v>
          </cell>
          <cell r="W25">
            <v>297434.98</v>
          </cell>
          <cell r="X25">
            <v>585470.85000000009</v>
          </cell>
          <cell r="Y25">
            <v>1125992.78</v>
          </cell>
        </row>
        <row r="26">
          <cell r="A26" t="str">
            <v>RO</v>
          </cell>
          <cell r="B26">
            <v>1242378.4099999999</v>
          </cell>
          <cell r="C26">
            <v>0</v>
          </cell>
          <cell r="D26">
            <v>846642.24</v>
          </cell>
          <cell r="E26">
            <v>1900</v>
          </cell>
          <cell r="F26">
            <v>1463396.24</v>
          </cell>
          <cell r="G26">
            <v>1008843.94</v>
          </cell>
          <cell r="H26">
            <v>1422708.22</v>
          </cell>
          <cell r="I26">
            <v>301353.78999999998</v>
          </cell>
          <cell r="J26">
            <v>94551.72</v>
          </cell>
          <cell r="K26">
            <v>0</v>
          </cell>
          <cell r="L26">
            <v>1629510.29</v>
          </cell>
          <cell r="M26">
            <v>918275.65</v>
          </cell>
          <cell r="N26">
            <v>1301979.6100000001</v>
          </cell>
          <cell r="O26">
            <v>1077197.1599999999</v>
          </cell>
          <cell r="P26">
            <v>1151893.01</v>
          </cell>
          <cell r="Q26">
            <v>531767.51</v>
          </cell>
          <cell r="R26">
            <v>660.52</v>
          </cell>
          <cell r="S26">
            <v>0</v>
          </cell>
          <cell r="T26">
            <v>0</v>
          </cell>
          <cell r="U26">
            <v>393836.16999999993</v>
          </cell>
          <cell r="V26">
            <v>394496.68999999994</v>
          </cell>
          <cell r="W26">
            <v>395736.16999999993</v>
          </cell>
          <cell r="X26">
            <v>454552.30000000005</v>
          </cell>
          <cell r="Y26">
            <v>1207427.8900000001</v>
          </cell>
        </row>
        <row r="27">
          <cell r="A27" t="str">
            <v>RR</v>
          </cell>
          <cell r="B27">
            <v>858801.16</v>
          </cell>
          <cell r="C27">
            <v>0</v>
          </cell>
          <cell r="D27">
            <v>824621.06</v>
          </cell>
          <cell r="E27">
            <v>8800</v>
          </cell>
          <cell r="F27">
            <v>911143.59</v>
          </cell>
          <cell r="G27">
            <v>830923.37</v>
          </cell>
          <cell r="H27">
            <v>401286.5</v>
          </cell>
          <cell r="I27">
            <v>49006.64</v>
          </cell>
          <cell r="J27">
            <v>70234.350000000006</v>
          </cell>
          <cell r="K27">
            <v>0</v>
          </cell>
          <cell r="L27">
            <v>380058.79</v>
          </cell>
          <cell r="M27">
            <v>281022.99</v>
          </cell>
          <cell r="N27">
            <v>315564.21999999997</v>
          </cell>
          <cell r="O27">
            <v>1036779.4</v>
          </cell>
          <cell r="P27">
            <v>1036779.4</v>
          </cell>
          <cell r="Q27">
            <v>531060.80000000005</v>
          </cell>
          <cell r="R27">
            <v>46758.89</v>
          </cell>
          <cell r="S27">
            <v>0</v>
          </cell>
          <cell r="T27">
            <v>0</v>
          </cell>
          <cell r="U27">
            <v>25380.099999999977</v>
          </cell>
          <cell r="V27">
            <v>72138.989999999991</v>
          </cell>
          <cell r="W27">
            <v>34180.099999999977</v>
          </cell>
          <cell r="X27">
            <v>80220.219999999972</v>
          </cell>
          <cell r="Y27">
            <v>245329.86999999997</v>
          </cell>
        </row>
        <row r="28">
          <cell r="A28" t="str">
            <v>RS</v>
          </cell>
          <cell r="B28">
            <v>13407244.949999999</v>
          </cell>
          <cell r="C28">
            <v>0</v>
          </cell>
          <cell r="D28">
            <v>12064206.93</v>
          </cell>
          <cell r="E28">
            <v>137888.46</v>
          </cell>
          <cell r="F28">
            <v>15281360.35</v>
          </cell>
          <cell r="G28">
            <v>15047915.880000001</v>
          </cell>
          <cell r="H28">
            <v>23462217.460000001</v>
          </cell>
          <cell r="I28">
            <v>6154102.5999999996</v>
          </cell>
          <cell r="J28">
            <v>1627390.73</v>
          </cell>
          <cell r="K28">
            <v>65444.77</v>
          </cell>
          <cell r="L28">
            <v>27923484.559999999</v>
          </cell>
          <cell r="M28">
            <v>19270935.75</v>
          </cell>
          <cell r="N28">
            <v>20414293.493000001</v>
          </cell>
          <cell r="O28">
            <v>11746175.550000001</v>
          </cell>
          <cell r="P28">
            <v>13731728.550000001</v>
          </cell>
          <cell r="Q28">
            <v>7099682.5</v>
          </cell>
          <cell r="R28">
            <v>0</v>
          </cell>
          <cell r="S28">
            <v>178863.85</v>
          </cell>
          <cell r="T28">
            <v>720</v>
          </cell>
          <cell r="U28">
            <v>1205149.5599999987</v>
          </cell>
          <cell r="V28">
            <v>1205149.5599999987</v>
          </cell>
          <cell r="W28">
            <v>1343038.0199999996</v>
          </cell>
          <cell r="X28">
            <v>233444.46999999881</v>
          </cell>
          <cell r="Y28">
            <v>18607318.912999999</v>
          </cell>
        </row>
        <row r="29">
          <cell r="A29" t="str">
            <v>SC</v>
          </cell>
          <cell r="B29">
            <v>8299894.4699999997</v>
          </cell>
          <cell r="C29">
            <v>0</v>
          </cell>
          <cell r="D29">
            <v>6450602.8200000003</v>
          </cell>
          <cell r="E29">
            <v>75668.929999999993</v>
          </cell>
          <cell r="F29">
            <v>9603263.0299999993</v>
          </cell>
          <cell r="G29">
            <v>7454324.6900000004</v>
          </cell>
          <cell r="H29">
            <v>11761116.57</v>
          </cell>
          <cell r="I29">
            <v>384488.69</v>
          </cell>
          <cell r="J29">
            <v>550086.86</v>
          </cell>
          <cell r="K29">
            <v>3549.04</v>
          </cell>
          <cell r="L29">
            <v>11591969.359999999</v>
          </cell>
          <cell r="M29">
            <v>8042080.9299999997</v>
          </cell>
          <cell r="N29">
            <v>9383465.4800000004</v>
          </cell>
          <cell r="O29">
            <v>7666697.2199999997</v>
          </cell>
          <cell r="P29">
            <v>7602891.4500000002</v>
          </cell>
          <cell r="Q29">
            <v>4180962.19</v>
          </cell>
          <cell r="R29">
            <v>0</v>
          </cell>
          <cell r="S29">
            <v>133721.14000000001</v>
          </cell>
          <cell r="T29">
            <v>7119</v>
          </cell>
          <cell r="U29">
            <v>1773622.7199999997</v>
          </cell>
          <cell r="V29">
            <v>1773622.7199999997</v>
          </cell>
          <cell r="W29">
            <v>1849291.6499999994</v>
          </cell>
          <cell r="X29">
            <v>2148938.3399999989</v>
          </cell>
          <cell r="Y29">
            <v>8692538.4800000004</v>
          </cell>
        </row>
        <row r="30">
          <cell r="A30" t="str">
            <v>SE</v>
          </cell>
          <cell r="B30">
            <v>1160030.76</v>
          </cell>
          <cell r="C30">
            <v>0</v>
          </cell>
          <cell r="D30">
            <v>932841.53</v>
          </cell>
          <cell r="E30">
            <v>0</v>
          </cell>
          <cell r="F30">
            <v>1283829.73</v>
          </cell>
          <cell r="G30">
            <v>1015731.92</v>
          </cell>
          <cell r="H30">
            <v>1251466.07</v>
          </cell>
          <cell r="I30">
            <v>56335.040000000001</v>
          </cell>
          <cell r="J30">
            <v>77361.62</v>
          </cell>
          <cell r="K30">
            <v>0</v>
          </cell>
          <cell r="L30">
            <v>1230439.49</v>
          </cell>
          <cell r="M30">
            <v>642120.63</v>
          </cell>
          <cell r="N30">
            <v>855918.17</v>
          </cell>
          <cell r="O30">
            <v>875713.67</v>
          </cell>
          <cell r="P30">
            <v>950591.9</v>
          </cell>
          <cell r="Q30">
            <v>599729.43000000005</v>
          </cell>
          <cell r="R30">
            <v>2126.87</v>
          </cell>
          <cell r="S30">
            <v>0</v>
          </cell>
          <cell r="T30">
            <v>0</v>
          </cell>
          <cell r="U30">
            <v>227189.22999999998</v>
          </cell>
          <cell r="V30">
            <v>229316.10000000009</v>
          </cell>
          <cell r="W30">
            <v>227189.22999999998</v>
          </cell>
          <cell r="X30">
            <v>268097.80999999994</v>
          </cell>
          <cell r="Y30">
            <v>778556.55</v>
          </cell>
        </row>
        <row r="31">
          <cell r="A31" t="str">
            <v>SP</v>
          </cell>
          <cell r="B31">
            <v>47047479.229999997</v>
          </cell>
          <cell r="C31">
            <v>0</v>
          </cell>
          <cell r="D31">
            <v>33607488.43</v>
          </cell>
          <cell r="E31">
            <v>991855.95</v>
          </cell>
          <cell r="F31">
            <v>52820102.479999997</v>
          </cell>
          <cell r="G31">
            <v>41670623.32</v>
          </cell>
          <cell r="H31">
            <v>57578483.619999997</v>
          </cell>
          <cell r="I31">
            <v>42079472.009999998</v>
          </cell>
          <cell r="J31">
            <v>3930734.12</v>
          </cell>
          <cell r="K31">
            <v>795366</v>
          </cell>
          <cell r="L31">
            <v>94931855.510000005</v>
          </cell>
          <cell r="M31">
            <v>32993124.210000001</v>
          </cell>
          <cell r="N31">
            <v>42699542.170000002</v>
          </cell>
          <cell r="O31">
            <v>40072219</v>
          </cell>
          <cell r="P31">
            <v>46171987.649999999</v>
          </cell>
          <cell r="Q31">
            <v>17665082.030000001</v>
          </cell>
          <cell r="R31">
            <v>0</v>
          </cell>
          <cell r="S31">
            <v>0</v>
          </cell>
          <cell r="T31">
            <v>0</v>
          </cell>
          <cell r="U31">
            <v>12448134.849999994</v>
          </cell>
          <cell r="V31">
            <v>12448134.849999994</v>
          </cell>
          <cell r="W31">
            <v>13439990.799999997</v>
          </cell>
          <cell r="X31">
            <v>11149479.159999996</v>
          </cell>
          <cell r="Y31">
            <v>38768808.050000004</v>
          </cell>
        </row>
        <row r="32">
          <cell r="A32" t="str">
            <v>TO</v>
          </cell>
          <cell r="B32">
            <v>1035888.75</v>
          </cell>
          <cell r="C32">
            <v>0</v>
          </cell>
          <cell r="D32">
            <v>929466.22</v>
          </cell>
          <cell r="E32">
            <v>7102.48</v>
          </cell>
          <cell r="F32">
            <v>1145130.82</v>
          </cell>
          <cell r="G32">
            <v>955427.64</v>
          </cell>
          <cell r="H32">
            <v>1209869.93</v>
          </cell>
          <cell r="I32">
            <v>404904.9</v>
          </cell>
          <cell r="J32">
            <v>83470.73</v>
          </cell>
          <cell r="K32">
            <v>0</v>
          </cell>
          <cell r="L32">
            <v>1531304.1</v>
          </cell>
          <cell r="M32">
            <v>844913.31</v>
          </cell>
          <cell r="N32">
            <v>947560.52</v>
          </cell>
          <cell r="O32">
            <v>1036653.31</v>
          </cell>
          <cell r="P32">
            <v>1036653.31</v>
          </cell>
          <cell r="Q32">
            <v>629052.67000000004</v>
          </cell>
          <cell r="R32">
            <v>31566.85</v>
          </cell>
          <cell r="S32">
            <v>214.54</v>
          </cell>
          <cell r="T32">
            <v>0</v>
          </cell>
          <cell r="U32">
            <v>99320.050000000047</v>
          </cell>
          <cell r="V32">
            <v>130886.90000000014</v>
          </cell>
          <cell r="W32">
            <v>106422.53000000003</v>
          </cell>
          <cell r="X32">
            <v>189703.18000000005</v>
          </cell>
          <cell r="Y32">
            <v>863875.25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 Iniciais"/>
      <sheetName val="Mapa Estratégico e ODS"/>
      <sheetName val="Indicadores e Metas"/>
      <sheetName val="Quadro Geral"/>
      <sheetName val="Anexo 1. Fontes e Aplicações"/>
      <sheetName val="Anexo 2. Limites Estratégicos"/>
      <sheetName val="Anexo 3. Elemento de Despesas"/>
      <sheetName val="CPFi"/>
      <sheetName val="COA"/>
      <sheetName val="CED"/>
      <sheetName val="CEF"/>
      <sheetName val="CEP"/>
      <sheetName val="CPUA"/>
      <sheetName val="CEAU"/>
      <sheetName val="CPC"/>
      <sheetName val="Presidência"/>
      <sheetName val="Gabinete da Presidência"/>
      <sheetName val="Secretaria Geral da Mesa"/>
      <sheetName val="Gerência Geral"/>
      <sheetName val="Gerência Administrativa"/>
      <sheetName val="Gerência de Fiscalização"/>
      <sheetName val="Gerência de Atendimento"/>
      <sheetName val="Gerência Financeira"/>
      <sheetName val="Gerência Jurídica"/>
      <sheetName val="Gerência de Planejamento"/>
      <sheetName val="Gerência de Comunicação"/>
      <sheetName val="Gerência Adm. e Financ."/>
      <sheetName val="Validação de dados"/>
      <sheetName val="Diretrizes - Resumo"/>
      <sheetName val="Matriz de Obj. Estra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Slide_do_Microsoft_PowerPoint1.sldx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rgb="FF2A5664"/>
  </sheetPr>
  <dimension ref="A1:Y10"/>
  <sheetViews>
    <sheetView showGridLines="0" zoomScale="110" zoomScaleNormal="110" workbookViewId="0">
      <selection activeCell="A2" sqref="A2"/>
    </sheetView>
  </sheetViews>
  <sheetFormatPr defaultColWidth="0" defaultRowHeight="15.6" zeroHeight="1" x14ac:dyDescent="0.3"/>
  <cols>
    <col min="1" max="1" width="126.33203125" style="6" customWidth="1"/>
    <col min="2" max="2" width="9.109375" style="4" hidden="1" customWidth="1"/>
    <col min="3" max="25" width="0" style="4" hidden="1" customWidth="1"/>
    <col min="26" max="16384" width="9.109375" style="4" hidden="1"/>
  </cols>
  <sheetData>
    <row r="1" spans="1:17" ht="16.2" thickBot="1" x14ac:dyDescent="0.35">
      <c r="A1" s="22" t="s">
        <v>233</v>
      </c>
    </row>
    <row r="2" spans="1:17" ht="39.75" customHeight="1" thickBot="1" x14ac:dyDescent="0.35">
      <c r="A2" s="23" t="s">
        <v>234</v>
      </c>
    </row>
    <row r="3" spans="1:17" ht="39.75" customHeight="1" thickBot="1" x14ac:dyDescent="0.35">
      <c r="A3" s="76" t="s">
        <v>418</v>
      </c>
    </row>
    <row r="4" spans="1:17" ht="39.75" customHeight="1" thickBot="1" x14ac:dyDescent="0.35">
      <c r="A4" s="24" t="s">
        <v>429</v>
      </c>
    </row>
    <row r="5" spans="1:17" ht="39.75" customHeight="1" thickBot="1" x14ac:dyDescent="0.35">
      <c r="A5" s="24" t="s">
        <v>430</v>
      </c>
    </row>
    <row r="6" spans="1:17" ht="39.75" customHeight="1" thickBot="1" x14ac:dyDescent="0.35">
      <c r="A6" s="24" t="s">
        <v>431</v>
      </c>
    </row>
    <row r="7" spans="1:17" ht="39.75" customHeight="1" thickBot="1" x14ac:dyDescent="0.35">
      <c r="A7" s="24" t="s">
        <v>432</v>
      </c>
    </row>
    <row r="8" spans="1:17" ht="57.75" customHeight="1" thickBot="1" x14ac:dyDescent="0.35">
      <c r="A8" s="23" t="s">
        <v>433</v>
      </c>
    </row>
    <row r="9" spans="1:17" ht="36" customHeight="1" thickBot="1" x14ac:dyDescent="0.35">
      <c r="A9" s="25" t="s">
        <v>434</v>
      </c>
    </row>
    <row r="10" spans="1:17" ht="42" customHeight="1" thickBot="1" x14ac:dyDescent="0.35">
      <c r="A10" s="23" t="s">
        <v>435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</sheetData>
  <sheetProtection algorithmName="SHA-512" hashValue="AhDW+6duKyjw0CdaT7TgQvZBoVcI1oM06/dvscv7QvX+i5hyn92EYecOsh28SVljFKScaYlengaZpCN7y1bvpg==" saltValue="tA4xXdcw4/094EWa1YIrH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rgb="FFFFFF00"/>
  </sheetPr>
  <dimension ref="A1:AN27"/>
  <sheetViews>
    <sheetView showGridLines="0" zoomScale="80" zoomScaleNormal="80" zoomScaleSheetLayoutView="80" workbookViewId="0">
      <selection activeCell="E10" sqref="E10"/>
    </sheetView>
  </sheetViews>
  <sheetFormatPr defaultColWidth="0" defaultRowHeight="25.8" zeroHeight="1" x14ac:dyDescent="0.5"/>
  <cols>
    <col min="1" max="1" width="18.44140625" style="265" customWidth="1"/>
    <col min="2" max="2" width="79.6640625" style="265" customWidth="1"/>
    <col min="3" max="3" width="22.109375" style="265" customWidth="1"/>
    <col min="4" max="5" width="18.44140625" style="265" customWidth="1"/>
    <col min="6" max="6" width="14.33203125" style="265" customWidth="1"/>
    <col min="7" max="8" width="18.109375" style="289" hidden="1" customWidth="1"/>
    <col min="9" max="9" width="10.33203125" style="265" bestFit="1" customWidth="1"/>
    <col min="10" max="40" width="0" style="266" hidden="1" customWidth="1"/>
    <col min="41" max="16384" width="36.88671875" style="266" hidden="1"/>
  </cols>
  <sheetData>
    <row r="1" spans="1:40" x14ac:dyDescent="0.5">
      <c r="A1" s="531" t="s">
        <v>559</v>
      </c>
      <c r="B1" s="532"/>
      <c r="C1" s="532"/>
      <c r="D1" s="532"/>
      <c r="E1" s="532"/>
      <c r="F1" s="532"/>
      <c r="G1" s="532"/>
      <c r="H1" s="533"/>
    </row>
    <row r="2" spans="1:40" ht="63.75" customHeight="1" x14ac:dyDescent="0.5">
      <c r="A2" s="534" t="s">
        <v>560</v>
      </c>
      <c r="B2" s="534"/>
      <c r="C2" s="534"/>
      <c r="D2" s="534"/>
      <c r="E2" s="534"/>
      <c r="F2" s="534"/>
      <c r="G2" s="534"/>
      <c r="H2" s="535"/>
    </row>
    <row r="3" spans="1:40" x14ac:dyDescent="0.5">
      <c r="A3" s="536" t="s">
        <v>561</v>
      </c>
      <c r="B3" s="537"/>
      <c r="C3" s="559" t="str">
        <f>'Quadro Geral'!C14</f>
        <v>Manutenção das atividades operacionais da comissão de ética e disciplina</v>
      </c>
      <c r="D3" s="559"/>
      <c r="E3" s="559"/>
      <c r="F3" s="559"/>
      <c r="G3" s="559"/>
      <c r="H3" s="560"/>
      <c r="N3" s="267"/>
      <c r="O3" s="268"/>
      <c r="P3" s="268"/>
      <c r="Q3" s="268"/>
      <c r="R3" s="268"/>
      <c r="S3" s="268"/>
      <c r="T3" s="268"/>
      <c r="U3" s="268"/>
      <c r="V3" s="268"/>
      <c r="W3" s="268"/>
    </row>
    <row r="4" spans="1:40" ht="30.75" customHeight="1" x14ac:dyDescent="0.5">
      <c r="A4" s="537" t="s">
        <v>34</v>
      </c>
      <c r="B4" s="537"/>
      <c r="C4" s="559" t="str">
        <f>'Quadro Geral'!E14</f>
        <v>Promover o exercício ético e qualificado da profissão</v>
      </c>
      <c r="D4" s="559"/>
      <c r="E4" s="559"/>
      <c r="F4" s="559"/>
      <c r="G4" s="559"/>
      <c r="H4" s="560"/>
      <c r="V4" s="268"/>
      <c r="W4" s="268"/>
    </row>
    <row r="5" spans="1:40" s="272" customFormat="1" ht="49.5" customHeight="1" x14ac:dyDescent="0.5">
      <c r="A5" s="269"/>
      <c r="B5" s="269"/>
      <c r="C5" s="269"/>
      <c r="D5" s="270"/>
      <c r="E5" s="270"/>
      <c r="F5" s="270"/>
      <c r="G5" s="270" t="s">
        <v>155</v>
      </c>
      <c r="H5" s="270"/>
      <c r="I5" s="271"/>
      <c r="N5" s="273"/>
      <c r="O5" s="274"/>
      <c r="P5" s="274"/>
      <c r="Q5" s="274"/>
      <c r="R5" s="274"/>
      <c r="S5" s="274"/>
      <c r="T5" s="274"/>
      <c r="U5" s="274"/>
      <c r="V5" s="274"/>
      <c r="W5" s="274"/>
    </row>
    <row r="6" spans="1:40" x14ac:dyDescent="0.5">
      <c r="A6" s="540" t="s">
        <v>562</v>
      </c>
      <c r="B6" s="541"/>
      <c r="C6" s="541"/>
      <c r="D6" s="540" t="s">
        <v>563</v>
      </c>
      <c r="E6" s="541"/>
      <c r="F6" s="542"/>
      <c r="G6" s="543" t="s">
        <v>564</v>
      </c>
      <c r="H6" s="544"/>
      <c r="M6" s="274"/>
      <c r="N6" s="274"/>
      <c r="O6" s="274"/>
      <c r="P6" s="274"/>
      <c r="Q6" s="274"/>
      <c r="R6" s="274"/>
      <c r="S6" s="274"/>
      <c r="T6" s="274"/>
      <c r="U6" s="268"/>
      <c r="V6" s="268"/>
      <c r="W6" s="268"/>
    </row>
    <row r="7" spans="1:40" x14ac:dyDescent="0.5">
      <c r="A7" s="540" t="s">
        <v>565</v>
      </c>
      <c r="B7" s="541"/>
      <c r="C7" s="542"/>
      <c r="D7" s="540" t="s">
        <v>566</v>
      </c>
      <c r="E7" s="542"/>
      <c r="F7" s="545" t="s">
        <v>567</v>
      </c>
      <c r="G7" s="546" t="s">
        <v>568</v>
      </c>
      <c r="H7" s="546" t="s">
        <v>569</v>
      </c>
      <c r="M7" s="274"/>
      <c r="N7" s="274"/>
      <c r="O7" s="274"/>
      <c r="P7" s="274"/>
      <c r="Q7" s="274"/>
      <c r="R7" s="274"/>
      <c r="S7" s="274"/>
      <c r="T7" s="274"/>
      <c r="U7" s="268"/>
      <c r="V7" s="268"/>
      <c r="W7" s="268"/>
    </row>
    <row r="8" spans="1:40" ht="63" customHeight="1" x14ac:dyDescent="0.5">
      <c r="A8" s="275" t="s">
        <v>570</v>
      </c>
      <c r="B8" s="275" t="s">
        <v>571</v>
      </c>
      <c r="C8" s="276" t="s">
        <v>572</v>
      </c>
      <c r="D8" s="275" t="s">
        <v>573</v>
      </c>
      <c r="E8" s="275" t="s">
        <v>574</v>
      </c>
      <c r="F8" s="545"/>
      <c r="G8" s="547"/>
      <c r="H8" s="547"/>
      <c r="M8" s="274"/>
      <c r="N8" s="274"/>
      <c r="O8" s="274"/>
      <c r="P8" s="274"/>
      <c r="Q8" s="274"/>
      <c r="R8" s="274"/>
      <c r="S8" s="274"/>
      <c r="T8" s="274"/>
      <c r="U8" s="268"/>
      <c r="V8" s="268"/>
      <c r="W8" s="268"/>
      <c r="AN8" s="266" t="s">
        <v>72</v>
      </c>
    </row>
    <row r="9" spans="1:40" ht="32.25" customHeight="1" x14ac:dyDescent="0.5">
      <c r="A9" s="12">
        <v>36</v>
      </c>
      <c r="B9" s="265" t="s">
        <v>579</v>
      </c>
      <c r="C9" s="12"/>
      <c r="D9" s="13">
        <v>27952.6</v>
      </c>
      <c r="E9" s="13">
        <f>45175.5/2</f>
        <v>22587.75</v>
      </c>
      <c r="F9" s="277">
        <f t="shared" ref="F9:F11" si="0">IFERROR(E9/D9*100-100,)</f>
        <v>-19.192669018266628</v>
      </c>
      <c r="G9" s="13"/>
      <c r="H9" s="278">
        <f t="shared" ref="H9:H11" si="1">IFERROR(G9/E9*100,)</f>
        <v>0</v>
      </c>
      <c r="M9" s="274"/>
      <c r="N9" s="267"/>
      <c r="O9" s="268"/>
      <c r="P9" s="268"/>
      <c r="Q9" s="268"/>
      <c r="R9" s="268"/>
      <c r="S9" s="268"/>
      <c r="T9" s="268"/>
      <c r="U9" s="268"/>
      <c r="V9" s="268"/>
      <c r="W9" s="268"/>
      <c r="AN9" s="266" t="s">
        <v>575</v>
      </c>
    </row>
    <row r="10" spans="1:40" ht="32.25" customHeight="1" x14ac:dyDescent="0.5">
      <c r="A10" s="12"/>
      <c r="B10" s="304" t="s">
        <v>586</v>
      </c>
      <c r="C10" s="12"/>
      <c r="D10" s="13">
        <v>4250.5</v>
      </c>
      <c r="E10" s="13">
        <v>8087.5</v>
      </c>
      <c r="F10" s="277">
        <f t="shared" si="0"/>
        <v>90.271732737325038</v>
      </c>
      <c r="G10" s="13"/>
      <c r="H10" s="278">
        <f t="shared" si="1"/>
        <v>0</v>
      </c>
      <c r="N10" s="267"/>
      <c r="O10" s="268"/>
      <c r="P10" s="268"/>
      <c r="Q10" s="268"/>
      <c r="R10" s="268"/>
      <c r="S10" s="268"/>
      <c r="T10" s="268"/>
      <c r="U10" s="268"/>
      <c r="V10" s="268"/>
      <c r="W10" s="268"/>
      <c r="AN10" s="266" t="s">
        <v>576</v>
      </c>
    </row>
    <row r="11" spans="1:40" s="284" customFormat="1" x14ac:dyDescent="0.3">
      <c r="A11" s="552" t="s">
        <v>0</v>
      </c>
      <c r="B11" s="552"/>
      <c r="C11" s="552"/>
      <c r="D11" s="280">
        <f>SUM(D9:D10)</f>
        <v>32203.1</v>
      </c>
      <c r="E11" s="280">
        <f>SUM(E9:E10)</f>
        <v>30675.25</v>
      </c>
      <c r="F11" s="281">
        <f t="shared" si="0"/>
        <v>-4.7444190155606094</v>
      </c>
      <c r="G11" s="280">
        <f>SUM(G9:G10)</f>
        <v>0</v>
      </c>
      <c r="H11" s="282">
        <f t="shared" si="1"/>
        <v>0</v>
      </c>
      <c r="I11" s="283"/>
    </row>
    <row r="12" spans="1:40" x14ac:dyDescent="0.5">
      <c r="A12" s="553"/>
      <c r="B12" s="553"/>
      <c r="C12" s="553"/>
      <c r="D12" s="553"/>
      <c r="E12" s="553"/>
      <c r="F12" s="553"/>
      <c r="G12" s="553"/>
      <c r="H12" s="553"/>
    </row>
    <row r="13" spans="1:40" x14ac:dyDescent="0.5">
      <c r="A13" s="554" t="s">
        <v>227</v>
      </c>
      <c r="B13" s="555"/>
      <c r="C13" s="555"/>
      <c r="D13" s="555"/>
      <c r="E13" s="555"/>
      <c r="F13" s="555"/>
      <c r="G13" s="555"/>
      <c r="H13" s="556"/>
      <c r="J13" s="285"/>
    </row>
    <row r="14" spans="1:40" x14ac:dyDescent="0.5">
      <c r="A14" s="549"/>
      <c r="B14" s="550"/>
      <c r="C14" s="550"/>
      <c r="D14" s="550"/>
      <c r="E14" s="550"/>
      <c r="F14" s="550"/>
      <c r="G14" s="550"/>
      <c r="H14" s="551"/>
    </row>
    <row r="15" spans="1:40" x14ac:dyDescent="0.5">
      <c r="A15" s="286"/>
      <c r="B15" s="286"/>
      <c r="C15" s="286"/>
      <c r="D15" s="286"/>
      <c r="E15" s="286"/>
      <c r="F15" s="286"/>
      <c r="G15" s="286"/>
      <c r="H15" s="286"/>
    </row>
    <row r="16" spans="1:40" x14ac:dyDescent="0.5">
      <c r="A16" s="554" t="s">
        <v>577</v>
      </c>
      <c r="B16" s="555"/>
      <c r="C16" s="555"/>
      <c r="D16" s="555"/>
      <c r="E16" s="555"/>
      <c r="F16" s="555"/>
      <c r="G16" s="555"/>
      <c r="H16" s="556"/>
      <c r="I16" s="287"/>
      <c r="J16" s="288"/>
      <c r="K16" s="288"/>
      <c r="L16" s="272"/>
    </row>
    <row r="17" spans="1:8" ht="129" customHeight="1" x14ac:dyDescent="0.5">
      <c r="A17" s="548" t="s">
        <v>578</v>
      </c>
      <c r="B17" s="548"/>
      <c r="C17" s="548"/>
      <c r="D17" s="548"/>
      <c r="E17" s="548"/>
      <c r="F17" s="548"/>
      <c r="G17" s="548"/>
      <c r="H17" s="548"/>
    </row>
    <row r="18" spans="1:8" ht="181.5" customHeight="1" x14ac:dyDescent="0.5">
      <c r="A18" s="548"/>
      <c r="B18" s="548"/>
      <c r="C18" s="548"/>
      <c r="D18" s="548"/>
      <c r="E18" s="548"/>
      <c r="F18" s="548"/>
      <c r="G18" s="548"/>
      <c r="H18" s="548"/>
    </row>
    <row r="19" spans="1:8" x14ac:dyDescent="0.5"/>
    <row r="20" spans="1:8" x14ac:dyDescent="0.5"/>
    <row r="21" spans="1:8" x14ac:dyDescent="0.5"/>
    <row r="22" spans="1:8" x14ac:dyDescent="0.5"/>
    <row r="23" spans="1:8" x14ac:dyDescent="0.5"/>
    <row r="24" spans="1:8" x14ac:dyDescent="0.5"/>
    <row r="25" spans="1:8" x14ac:dyDescent="0.5"/>
    <row r="26" spans="1:8" x14ac:dyDescent="0.5"/>
    <row r="27" spans="1:8" x14ac:dyDescent="0.5"/>
  </sheetData>
  <sheetProtection formatCells="0" formatRows="0" insertRows="0" deleteRows="0"/>
  <mergeCells count="20">
    <mergeCell ref="A17:H18"/>
    <mergeCell ref="A6:C6"/>
    <mergeCell ref="D6:F6"/>
    <mergeCell ref="G6:H6"/>
    <mergeCell ref="A7:C7"/>
    <mergeCell ref="D7:E7"/>
    <mergeCell ref="F7:F8"/>
    <mergeCell ref="G7:G8"/>
    <mergeCell ref="H7:H8"/>
    <mergeCell ref="A11:C11"/>
    <mergeCell ref="A12:H12"/>
    <mergeCell ref="A13:H13"/>
    <mergeCell ref="A14:H14"/>
    <mergeCell ref="A16:H16"/>
    <mergeCell ref="A1:H1"/>
    <mergeCell ref="A2:H2"/>
    <mergeCell ref="A3:B3"/>
    <mergeCell ref="C3:H3"/>
    <mergeCell ref="A4:B4"/>
    <mergeCell ref="C4:H4"/>
  </mergeCells>
  <dataValidations count="1">
    <dataValidation type="list" allowBlank="1" showInputMessage="1" showErrorMessage="1" sqref="AN8:AN9">
      <formula1>$AN$8:$AN$9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'[5]AÇÕES ESTRATÉGICAS - DESCRIÇÃO '!#REF!</xm:f>
          </x14:formula1>
          <xm:sqref>C9:C10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1">
    <tabColor rgb="FFFFFF00"/>
  </sheetPr>
  <dimension ref="A1:AN28"/>
  <sheetViews>
    <sheetView showGridLines="0" zoomScale="80" zoomScaleNormal="80" zoomScaleSheetLayoutView="80" workbookViewId="0">
      <selection activeCell="E9" sqref="E9:E10"/>
    </sheetView>
  </sheetViews>
  <sheetFormatPr defaultColWidth="0" defaultRowHeight="25.8" zeroHeight="1" x14ac:dyDescent="0.5"/>
  <cols>
    <col min="1" max="1" width="18.44140625" style="265" customWidth="1"/>
    <col min="2" max="2" width="79.6640625" style="265" customWidth="1"/>
    <col min="3" max="3" width="22.109375" style="265" customWidth="1"/>
    <col min="4" max="5" width="18.44140625" style="265" customWidth="1"/>
    <col min="6" max="6" width="14.33203125" style="265" customWidth="1"/>
    <col min="7" max="8" width="18.109375" style="289" hidden="1" customWidth="1"/>
    <col min="9" max="9" width="10.33203125" style="265" bestFit="1" customWidth="1"/>
    <col min="10" max="40" width="0" style="266" hidden="1" customWidth="1"/>
    <col min="41" max="16384" width="36.88671875" style="266" hidden="1"/>
  </cols>
  <sheetData>
    <row r="1" spans="1:40" x14ac:dyDescent="0.5">
      <c r="A1" s="531" t="s">
        <v>559</v>
      </c>
      <c r="B1" s="532"/>
      <c r="C1" s="532"/>
      <c r="D1" s="532"/>
      <c r="E1" s="532"/>
      <c r="F1" s="532"/>
      <c r="G1" s="532"/>
      <c r="H1" s="533"/>
    </row>
    <row r="2" spans="1:40" ht="63.75" customHeight="1" x14ac:dyDescent="0.5">
      <c r="A2" s="534" t="s">
        <v>560</v>
      </c>
      <c r="B2" s="534"/>
      <c r="C2" s="534"/>
      <c r="D2" s="534"/>
      <c r="E2" s="534"/>
      <c r="F2" s="534"/>
      <c r="G2" s="534"/>
      <c r="H2" s="535"/>
    </row>
    <row r="3" spans="1:40" x14ac:dyDescent="0.5">
      <c r="A3" s="536" t="s">
        <v>561</v>
      </c>
      <c r="B3" s="537"/>
      <c r="C3" s="557" t="str">
        <f>'Quadro Geral'!C15</f>
        <v>Manutenção das atividades operacionais da comissão de ensino e formação</v>
      </c>
      <c r="D3" s="557"/>
      <c r="E3" s="557"/>
      <c r="F3" s="557"/>
      <c r="G3" s="557"/>
      <c r="H3" s="558"/>
      <c r="N3" s="267"/>
      <c r="O3" s="268"/>
      <c r="P3" s="268"/>
      <c r="Q3" s="268"/>
      <c r="R3" s="268"/>
      <c r="S3" s="268"/>
      <c r="T3" s="268"/>
      <c r="U3" s="268"/>
      <c r="V3" s="268"/>
      <c r="W3" s="268"/>
    </row>
    <row r="4" spans="1:40" ht="30.75" customHeight="1" x14ac:dyDescent="0.5">
      <c r="A4" s="537" t="s">
        <v>34</v>
      </c>
      <c r="B4" s="537"/>
      <c r="C4" s="557" t="str">
        <f>'Quadro Geral'!E15</f>
        <v>Influenciar as diretrizes do ensino de Arquitetura e Urbanismo e sua formação continuada</v>
      </c>
      <c r="D4" s="557"/>
      <c r="E4" s="557"/>
      <c r="F4" s="557"/>
      <c r="G4" s="557"/>
      <c r="H4" s="558"/>
      <c r="V4" s="268"/>
      <c r="W4" s="268"/>
    </row>
    <row r="5" spans="1:40" s="272" customFormat="1" ht="49.5" customHeight="1" x14ac:dyDescent="0.5">
      <c r="A5" s="269"/>
      <c r="B5" s="269"/>
      <c r="C5" s="269"/>
      <c r="D5" s="270"/>
      <c r="E5" s="270"/>
      <c r="F5" s="270"/>
      <c r="G5" s="270" t="s">
        <v>155</v>
      </c>
      <c r="H5" s="270"/>
      <c r="I5" s="271"/>
      <c r="N5" s="273"/>
      <c r="O5" s="274"/>
      <c r="P5" s="274"/>
      <c r="Q5" s="274"/>
      <c r="R5" s="274"/>
      <c r="S5" s="274"/>
      <c r="T5" s="274"/>
      <c r="U5" s="274"/>
      <c r="V5" s="274"/>
      <c r="W5" s="274"/>
    </row>
    <row r="6" spans="1:40" x14ac:dyDescent="0.5">
      <c r="A6" s="540" t="s">
        <v>562</v>
      </c>
      <c r="B6" s="541"/>
      <c r="C6" s="541"/>
      <c r="D6" s="540" t="s">
        <v>563</v>
      </c>
      <c r="E6" s="541"/>
      <c r="F6" s="542"/>
      <c r="G6" s="543" t="s">
        <v>564</v>
      </c>
      <c r="H6" s="544"/>
      <c r="M6" s="274"/>
      <c r="N6" s="274"/>
      <c r="O6" s="274"/>
      <c r="P6" s="274"/>
      <c r="Q6" s="274"/>
      <c r="R6" s="274"/>
      <c r="S6" s="274"/>
      <c r="T6" s="274"/>
      <c r="U6" s="268"/>
      <c r="V6" s="268"/>
      <c r="W6" s="268"/>
    </row>
    <row r="7" spans="1:40" x14ac:dyDescent="0.5">
      <c r="A7" s="540" t="s">
        <v>565</v>
      </c>
      <c r="B7" s="541"/>
      <c r="C7" s="542"/>
      <c r="D7" s="540" t="s">
        <v>566</v>
      </c>
      <c r="E7" s="542"/>
      <c r="F7" s="545" t="s">
        <v>567</v>
      </c>
      <c r="G7" s="546" t="s">
        <v>568</v>
      </c>
      <c r="H7" s="546" t="s">
        <v>569</v>
      </c>
      <c r="M7" s="274"/>
      <c r="N7" s="274"/>
      <c r="O7" s="274"/>
      <c r="P7" s="274"/>
      <c r="Q7" s="274"/>
      <c r="R7" s="274"/>
      <c r="S7" s="274"/>
      <c r="T7" s="274"/>
      <c r="U7" s="268"/>
      <c r="V7" s="268"/>
      <c r="W7" s="268"/>
    </row>
    <row r="8" spans="1:40" ht="63" customHeight="1" x14ac:dyDescent="0.5">
      <c r="A8" s="275" t="s">
        <v>570</v>
      </c>
      <c r="B8" s="275" t="s">
        <v>571</v>
      </c>
      <c r="C8" s="276" t="s">
        <v>572</v>
      </c>
      <c r="D8" s="275" t="s">
        <v>573</v>
      </c>
      <c r="E8" s="275" t="s">
        <v>574</v>
      </c>
      <c r="F8" s="545"/>
      <c r="G8" s="547"/>
      <c r="H8" s="547"/>
      <c r="M8" s="274"/>
      <c r="N8" s="274"/>
      <c r="O8" s="274"/>
      <c r="P8" s="274"/>
      <c r="Q8" s="274"/>
      <c r="R8" s="274"/>
      <c r="S8" s="274"/>
      <c r="T8" s="274"/>
      <c r="U8" s="268"/>
      <c r="V8" s="268"/>
      <c r="W8" s="268"/>
      <c r="AN8" s="266" t="s">
        <v>72</v>
      </c>
    </row>
    <row r="9" spans="1:40" ht="32.25" customHeight="1" x14ac:dyDescent="0.5">
      <c r="A9" s="321">
        <v>30</v>
      </c>
      <c r="B9" s="265" t="s">
        <v>579</v>
      </c>
      <c r="C9" s="321"/>
      <c r="D9" s="13">
        <v>19986.75</v>
      </c>
      <c r="E9" s="336">
        <f>43398.8/2</f>
        <v>21699.4</v>
      </c>
      <c r="F9" s="277">
        <f t="shared" ref="F9:F11" si="0">IFERROR(E9/D9*100-100,)</f>
        <v>8.5689269140805777</v>
      </c>
      <c r="G9" s="13"/>
      <c r="H9" s="278">
        <f t="shared" ref="H9:H11" si="1">IFERROR(G9/E9*100,)</f>
        <v>0</v>
      </c>
      <c r="M9" s="274"/>
      <c r="N9" s="267"/>
      <c r="O9" s="268"/>
      <c r="P9" s="268"/>
      <c r="Q9" s="268"/>
      <c r="R9" s="268"/>
      <c r="S9" s="268"/>
      <c r="T9" s="268"/>
      <c r="U9" s="268"/>
      <c r="V9" s="268"/>
      <c r="W9" s="268"/>
      <c r="AN9" s="266" t="s">
        <v>575</v>
      </c>
    </row>
    <row r="10" spans="1:40" s="357" customFormat="1" ht="32.25" customHeight="1" x14ac:dyDescent="0.5">
      <c r="A10" s="352"/>
      <c r="B10" s="360" t="s">
        <v>735</v>
      </c>
      <c r="C10" s="352"/>
      <c r="D10" s="353">
        <v>0</v>
      </c>
      <c r="E10" s="392">
        <v>22240</v>
      </c>
      <c r="F10" s="354">
        <f t="shared" si="0"/>
        <v>0</v>
      </c>
      <c r="G10" s="353"/>
      <c r="H10" s="355"/>
      <c r="I10" s="356"/>
      <c r="M10" s="359"/>
      <c r="N10" s="358"/>
      <c r="O10" s="359"/>
      <c r="P10" s="359"/>
      <c r="Q10" s="359"/>
      <c r="R10" s="359"/>
      <c r="S10" s="359"/>
      <c r="T10" s="359"/>
      <c r="U10" s="359"/>
      <c r="V10" s="359"/>
      <c r="W10" s="359"/>
    </row>
    <row r="11" spans="1:40" s="284" customFormat="1" x14ac:dyDescent="0.3">
      <c r="A11" s="552" t="s">
        <v>0</v>
      </c>
      <c r="B11" s="552"/>
      <c r="C11" s="552"/>
      <c r="D11" s="280">
        <f>SUM(D9:D10)</f>
        <v>19986.75</v>
      </c>
      <c r="E11" s="280">
        <f>SUM(E9:E10)</f>
        <v>43939.4</v>
      </c>
      <c r="F11" s="281">
        <f t="shared" si="0"/>
        <v>119.84264575281122</v>
      </c>
      <c r="G11" s="280">
        <f>SUM(G9:G9)</f>
        <v>0</v>
      </c>
      <c r="H11" s="282">
        <f t="shared" si="1"/>
        <v>0</v>
      </c>
      <c r="I11" s="283"/>
    </row>
    <row r="12" spans="1:40" x14ac:dyDescent="0.5">
      <c r="A12" s="553"/>
      <c r="B12" s="553"/>
      <c r="C12" s="553"/>
      <c r="D12" s="553"/>
      <c r="E12" s="553"/>
      <c r="F12" s="553"/>
      <c r="G12" s="553"/>
      <c r="H12" s="553"/>
    </row>
    <row r="13" spans="1:40" x14ac:dyDescent="0.5">
      <c r="A13" s="554" t="s">
        <v>227</v>
      </c>
      <c r="B13" s="555"/>
      <c r="C13" s="555"/>
      <c r="D13" s="555"/>
      <c r="E13" s="555"/>
      <c r="F13" s="555"/>
      <c r="G13" s="555"/>
      <c r="H13" s="556"/>
      <c r="J13" s="285"/>
    </row>
    <row r="14" spans="1:40" x14ac:dyDescent="0.5">
      <c r="A14" s="549"/>
      <c r="B14" s="550"/>
      <c r="C14" s="550"/>
      <c r="D14" s="550"/>
      <c r="E14" s="550"/>
      <c r="F14" s="550"/>
      <c r="G14" s="550"/>
      <c r="H14" s="551"/>
    </row>
    <row r="15" spans="1:40" x14ac:dyDescent="0.5">
      <c r="A15" s="286"/>
      <c r="B15" s="286"/>
      <c r="C15" s="286"/>
      <c r="D15" s="286"/>
      <c r="E15" s="286"/>
      <c r="F15" s="286"/>
      <c r="G15" s="286"/>
      <c r="H15" s="286"/>
    </row>
    <row r="16" spans="1:40" x14ac:dyDescent="0.5">
      <c r="A16" s="554" t="s">
        <v>577</v>
      </c>
      <c r="B16" s="555"/>
      <c r="C16" s="555"/>
      <c r="D16" s="555"/>
      <c r="E16" s="555"/>
      <c r="F16" s="555"/>
      <c r="G16" s="555"/>
      <c r="H16" s="556"/>
      <c r="I16" s="287"/>
      <c r="J16" s="288"/>
      <c r="K16" s="288"/>
      <c r="L16" s="272"/>
    </row>
    <row r="17" spans="1:8" ht="129" customHeight="1" x14ac:dyDescent="0.5">
      <c r="A17" s="548" t="s">
        <v>578</v>
      </c>
      <c r="B17" s="548"/>
      <c r="C17" s="548"/>
      <c r="D17" s="548"/>
      <c r="E17" s="548"/>
      <c r="F17" s="548"/>
      <c r="G17" s="548"/>
      <c r="H17" s="548"/>
    </row>
    <row r="18" spans="1:8" ht="181.5" customHeight="1" x14ac:dyDescent="0.5">
      <c r="A18" s="548"/>
      <c r="B18" s="548"/>
      <c r="C18" s="548"/>
      <c r="D18" s="548"/>
      <c r="E18" s="548"/>
      <c r="F18" s="548"/>
      <c r="G18" s="548"/>
      <c r="H18" s="548"/>
    </row>
    <row r="19" spans="1:8" x14ac:dyDescent="0.5"/>
    <row r="20" spans="1:8" x14ac:dyDescent="0.5"/>
    <row r="21" spans="1:8" x14ac:dyDescent="0.5"/>
    <row r="22" spans="1:8" x14ac:dyDescent="0.5"/>
    <row r="23" spans="1:8" x14ac:dyDescent="0.5"/>
    <row r="24" spans="1:8" x14ac:dyDescent="0.5"/>
    <row r="25" spans="1:8" x14ac:dyDescent="0.5"/>
    <row r="26" spans="1:8" x14ac:dyDescent="0.5"/>
    <row r="27" spans="1:8" x14ac:dyDescent="0.5"/>
    <row r="28" spans="1:8" x14ac:dyDescent="0.5"/>
  </sheetData>
  <sheetProtection formatCells="0" formatRows="0" insertRows="0" deleteRows="0"/>
  <mergeCells count="20">
    <mergeCell ref="A17:H18"/>
    <mergeCell ref="A6:C6"/>
    <mergeCell ref="D6:F6"/>
    <mergeCell ref="G6:H6"/>
    <mergeCell ref="A7:C7"/>
    <mergeCell ref="D7:E7"/>
    <mergeCell ref="F7:F8"/>
    <mergeCell ref="G7:G8"/>
    <mergeCell ref="H7:H8"/>
    <mergeCell ref="A11:C11"/>
    <mergeCell ref="A12:H12"/>
    <mergeCell ref="A13:H13"/>
    <mergeCell ref="A14:H14"/>
    <mergeCell ref="A16:H16"/>
    <mergeCell ref="A1:H1"/>
    <mergeCell ref="A2:H2"/>
    <mergeCell ref="A3:B3"/>
    <mergeCell ref="C3:H3"/>
    <mergeCell ref="A4:B4"/>
    <mergeCell ref="C4:H4"/>
  </mergeCells>
  <dataValidations count="1">
    <dataValidation type="list" allowBlank="1" showInputMessage="1" showErrorMessage="1" sqref="AN8:AN10">
      <formula1>$AN$8:$AN$9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'[5]AÇÕES ESTRATÉGICAS - DESCRIÇÃO '!#REF!</xm:f>
          </x14:formula1>
          <xm:sqref>C9:C10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>
    <tabColor rgb="FFFFFF00"/>
  </sheetPr>
  <dimension ref="A1:AN27"/>
  <sheetViews>
    <sheetView showGridLines="0" zoomScale="80" zoomScaleNormal="80" zoomScaleSheetLayoutView="80" workbookViewId="0">
      <selection activeCell="E10" sqref="E10"/>
    </sheetView>
  </sheetViews>
  <sheetFormatPr defaultColWidth="0" defaultRowHeight="25.8" zeroHeight="1" x14ac:dyDescent="0.5"/>
  <cols>
    <col min="1" max="1" width="18.44140625" style="265" customWidth="1"/>
    <col min="2" max="2" width="79.6640625" style="265" customWidth="1"/>
    <col min="3" max="3" width="22.109375" style="265" customWidth="1"/>
    <col min="4" max="5" width="18.44140625" style="265" customWidth="1"/>
    <col min="6" max="6" width="14.33203125" style="265" customWidth="1"/>
    <col min="7" max="8" width="18.109375" style="289" hidden="1" customWidth="1"/>
    <col min="9" max="9" width="10.33203125" style="265" bestFit="1" customWidth="1"/>
    <col min="10" max="40" width="0" style="266" hidden="1" customWidth="1"/>
    <col min="41" max="16384" width="36.88671875" style="266" hidden="1"/>
  </cols>
  <sheetData>
    <row r="1" spans="1:40" x14ac:dyDescent="0.5">
      <c r="A1" s="531" t="s">
        <v>559</v>
      </c>
      <c r="B1" s="532"/>
      <c r="C1" s="532"/>
      <c r="D1" s="532"/>
      <c r="E1" s="532"/>
      <c r="F1" s="532"/>
      <c r="G1" s="532"/>
      <c r="H1" s="533"/>
    </row>
    <row r="2" spans="1:40" ht="63.75" customHeight="1" x14ac:dyDescent="0.5">
      <c r="A2" s="534" t="s">
        <v>560</v>
      </c>
      <c r="B2" s="534"/>
      <c r="C2" s="534"/>
      <c r="D2" s="534"/>
      <c r="E2" s="534"/>
      <c r="F2" s="534"/>
      <c r="G2" s="534"/>
      <c r="H2" s="535"/>
    </row>
    <row r="3" spans="1:40" x14ac:dyDescent="0.5">
      <c r="A3" s="536" t="s">
        <v>561</v>
      </c>
      <c r="B3" s="537"/>
      <c r="C3" s="557" t="str">
        <f>'Quadro Geral'!C16</f>
        <v>Manutenção das atividades operacionais da comissão de exercício profissional</v>
      </c>
      <c r="D3" s="557"/>
      <c r="E3" s="557"/>
      <c r="F3" s="557"/>
      <c r="G3" s="557"/>
      <c r="H3" s="558"/>
      <c r="N3" s="267"/>
      <c r="O3" s="268"/>
      <c r="P3" s="268"/>
      <c r="Q3" s="268"/>
      <c r="R3" s="268"/>
      <c r="S3" s="268"/>
      <c r="T3" s="268"/>
      <c r="U3" s="268"/>
      <c r="V3" s="268"/>
      <c r="W3" s="268"/>
    </row>
    <row r="4" spans="1:40" ht="30.75" customHeight="1" x14ac:dyDescent="0.5">
      <c r="A4" s="537" t="s">
        <v>34</v>
      </c>
      <c r="B4" s="537"/>
      <c r="C4" s="557" t="str">
        <f>'Quadro Geral'!E16</f>
        <v>Tornar a fiscalização um vetor de melhoria do exercício da Arquitetura e Urbanismo</v>
      </c>
      <c r="D4" s="557"/>
      <c r="E4" s="557"/>
      <c r="F4" s="557"/>
      <c r="G4" s="557"/>
      <c r="H4" s="558"/>
      <c r="V4" s="268"/>
      <c r="W4" s="268"/>
    </row>
    <row r="5" spans="1:40" s="272" customFormat="1" ht="49.5" customHeight="1" x14ac:dyDescent="0.5">
      <c r="A5" s="269"/>
      <c r="B5" s="269"/>
      <c r="C5" s="269"/>
      <c r="D5" s="270"/>
      <c r="E5" s="270"/>
      <c r="F5" s="270"/>
      <c r="G5" s="270" t="s">
        <v>155</v>
      </c>
      <c r="H5" s="270"/>
      <c r="I5" s="271"/>
      <c r="N5" s="273"/>
      <c r="O5" s="274"/>
      <c r="P5" s="274"/>
      <c r="Q5" s="274"/>
      <c r="R5" s="274"/>
      <c r="S5" s="274"/>
      <c r="T5" s="274"/>
      <c r="U5" s="274"/>
      <c r="V5" s="274"/>
      <c r="W5" s="274"/>
    </row>
    <row r="6" spans="1:40" x14ac:dyDescent="0.5">
      <c r="A6" s="540" t="s">
        <v>562</v>
      </c>
      <c r="B6" s="541"/>
      <c r="C6" s="541"/>
      <c r="D6" s="540" t="s">
        <v>563</v>
      </c>
      <c r="E6" s="541"/>
      <c r="F6" s="542"/>
      <c r="G6" s="543" t="s">
        <v>564</v>
      </c>
      <c r="H6" s="544"/>
      <c r="M6" s="274"/>
      <c r="N6" s="274"/>
      <c r="O6" s="274"/>
      <c r="P6" s="274"/>
      <c r="Q6" s="274"/>
      <c r="R6" s="274"/>
      <c r="S6" s="274"/>
      <c r="T6" s="274"/>
      <c r="U6" s="268"/>
      <c r="V6" s="268"/>
      <c r="W6" s="268"/>
    </row>
    <row r="7" spans="1:40" x14ac:dyDescent="0.5">
      <c r="A7" s="540" t="s">
        <v>565</v>
      </c>
      <c r="B7" s="541"/>
      <c r="C7" s="542"/>
      <c r="D7" s="540" t="s">
        <v>566</v>
      </c>
      <c r="E7" s="542"/>
      <c r="F7" s="545" t="s">
        <v>567</v>
      </c>
      <c r="G7" s="546" t="s">
        <v>568</v>
      </c>
      <c r="H7" s="546" t="s">
        <v>569</v>
      </c>
      <c r="M7" s="274"/>
      <c r="N7" s="274"/>
      <c r="O7" s="274"/>
      <c r="P7" s="274"/>
      <c r="Q7" s="274"/>
      <c r="R7" s="274"/>
      <c r="S7" s="274"/>
      <c r="T7" s="274"/>
      <c r="U7" s="268"/>
      <c r="V7" s="268"/>
      <c r="W7" s="268"/>
    </row>
    <row r="8" spans="1:40" ht="63" customHeight="1" x14ac:dyDescent="0.5">
      <c r="A8" s="275" t="s">
        <v>570</v>
      </c>
      <c r="B8" s="275" t="s">
        <v>571</v>
      </c>
      <c r="C8" s="276" t="s">
        <v>572</v>
      </c>
      <c r="D8" s="275" t="s">
        <v>573</v>
      </c>
      <c r="E8" s="275" t="s">
        <v>574</v>
      </c>
      <c r="F8" s="545"/>
      <c r="G8" s="547"/>
      <c r="H8" s="547"/>
      <c r="M8" s="274"/>
      <c r="N8" s="274"/>
      <c r="O8" s="274"/>
      <c r="P8" s="274"/>
      <c r="Q8" s="274"/>
      <c r="R8" s="274"/>
      <c r="S8" s="274"/>
      <c r="T8" s="274"/>
      <c r="U8" s="268"/>
      <c r="V8" s="268"/>
      <c r="W8" s="268"/>
      <c r="AN8" s="266" t="s">
        <v>72</v>
      </c>
    </row>
    <row r="9" spans="1:40" ht="32.25" customHeight="1" x14ac:dyDescent="0.5">
      <c r="A9" s="12"/>
      <c r="B9" s="265" t="s">
        <v>579</v>
      </c>
      <c r="C9" s="12"/>
      <c r="D9" s="13">
        <v>24664.5</v>
      </c>
      <c r="E9" s="13">
        <f>52748.5/2</f>
        <v>26374.25</v>
      </c>
      <c r="F9" s="277">
        <f t="shared" ref="F9:F11" si="0">IFERROR(E9/D9*100-100,)</f>
        <v>6.9320278132538533</v>
      </c>
      <c r="G9" s="13"/>
      <c r="H9" s="278">
        <f t="shared" ref="H9:H11" si="1">IFERROR(G9/E9*100,)</f>
        <v>0</v>
      </c>
      <c r="M9" s="274"/>
      <c r="N9" s="267"/>
      <c r="O9" s="268"/>
      <c r="P9" s="268"/>
      <c r="Q9" s="268"/>
      <c r="R9" s="268"/>
      <c r="S9" s="268"/>
      <c r="T9" s="268"/>
      <c r="U9" s="268"/>
      <c r="V9" s="268"/>
      <c r="W9" s="268"/>
      <c r="AN9" s="266" t="s">
        <v>575</v>
      </c>
    </row>
    <row r="10" spans="1:40" s="357" customFormat="1" ht="32.25" customHeight="1" x14ac:dyDescent="0.5">
      <c r="A10" s="352"/>
      <c r="B10" s="352" t="s">
        <v>587</v>
      </c>
      <c r="C10" s="352"/>
      <c r="D10" s="353">
        <v>0</v>
      </c>
      <c r="E10" s="353">
        <v>50000</v>
      </c>
      <c r="F10" s="354">
        <f t="shared" si="0"/>
        <v>0</v>
      </c>
      <c r="G10" s="353"/>
      <c r="H10" s="355">
        <f t="shared" si="1"/>
        <v>0</v>
      </c>
      <c r="I10" s="356"/>
      <c r="N10" s="358"/>
      <c r="O10" s="359"/>
      <c r="P10" s="359"/>
      <c r="Q10" s="359"/>
      <c r="R10" s="359"/>
      <c r="S10" s="359"/>
      <c r="T10" s="359"/>
      <c r="U10" s="359"/>
      <c r="V10" s="359"/>
      <c r="W10" s="359"/>
      <c r="AN10" s="357" t="s">
        <v>576</v>
      </c>
    </row>
    <row r="11" spans="1:40" s="284" customFormat="1" x14ac:dyDescent="0.3">
      <c r="A11" s="552" t="s">
        <v>0</v>
      </c>
      <c r="B11" s="552"/>
      <c r="C11" s="552"/>
      <c r="D11" s="280">
        <f>SUM(D9:D10)</f>
        <v>24664.5</v>
      </c>
      <c r="E11" s="280">
        <f>SUM(E9:E10)</f>
        <v>76374.25</v>
      </c>
      <c r="F11" s="281">
        <f t="shared" si="0"/>
        <v>209.6525370471731</v>
      </c>
      <c r="G11" s="280">
        <f>SUM(G9:G10)</f>
        <v>0</v>
      </c>
      <c r="H11" s="282">
        <f t="shared" si="1"/>
        <v>0</v>
      </c>
      <c r="I11" s="283"/>
    </row>
    <row r="12" spans="1:40" x14ac:dyDescent="0.5">
      <c r="A12" s="553"/>
      <c r="B12" s="553"/>
      <c r="C12" s="553"/>
      <c r="D12" s="553"/>
      <c r="E12" s="553"/>
      <c r="F12" s="553"/>
      <c r="G12" s="553"/>
      <c r="H12" s="553"/>
    </row>
    <row r="13" spans="1:40" x14ac:dyDescent="0.5">
      <c r="A13" s="554" t="s">
        <v>227</v>
      </c>
      <c r="B13" s="555"/>
      <c r="C13" s="555"/>
      <c r="D13" s="555"/>
      <c r="E13" s="555"/>
      <c r="F13" s="555"/>
      <c r="G13" s="555"/>
      <c r="H13" s="556"/>
      <c r="J13" s="285"/>
    </row>
    <row r="14" spans="1:40" x14ac:dyDescent="0.5">
      <c r="A14" s="549"/>
      <c r="B14" s="550"/>
      <c r="C14" s="550"/>
      <c r="D14" s="550"/>
      <c r="E14" s="550"/>
      <c r="F14" s="550"/>
      <c r="G14" s="550"/>
      <c r="H14" s="551"/>
    </row>
    <row r="15" spans="1:40" x14ac:dyDescent="0.5">
      <c r="A15" s="286"/>
      <c r="B15" s="286"/>
      <c r="C15" s="286"/>
      <c r="D15" s="286"/>
      <c r="E15" s="286"/>
      <c r="F15" s="286"/>
      <c r="G15" s="286"/>
      <c r="H15" s="286"/>
    </row>
    <row r="16" spans="1:40" x14ac:dyDescent="0.5">
      <c r="A16" s="554" t="s">
        <v>577</v>
      </c>
      <c r="B16" s="555"/>
      <c r="C16" s="555"/>
      <c r="D16" s="555"/>
      <c r="E16" s="555"/>
      <c r="F16" s="555"/>
      <c r="G16" s="555"/>
      <c r="H16" s="556"/>
      <c r="I16" s="287"/>
      <c r="J16" s="288"/>
      <c r="K16" s="288"/>
      <c r="L16" s="272"/>
    </row>
    <row r="17" spans="1:8" ht="129" customHeight="1" x14ac:dyDescent="0.5">
      <c r="A17" s="548" t="s">
        <v>578</v>
      </c>
      <c r="B17" s="548"/>
      <c r="C17" s="548"/>
      <c r="D17" s="548"/>
      <c r="E17" s="548"/>
      <c r="F17" s="548"/>
      <c r="G17" s="548"/>
      <c r="H17" s="548"/>
    </row>
    <row r="18" spans="1:8" ht="181.5" customHeight="1" x14ac:dyDescent="0.5">
      <c r="A18" s="548"/>
      <c r="B18" s="548"/>
      <c r="C18" s="548"/>
      <c r="D18" s="548"/>
      <c r="E18" s="548"/>
      <c r="F18" s="548"/>
      <c r="G18" s="548"/>
      <c r="H18" s="548"/>
    </row>
    <row r="19" spans="1:8" x14ac:dyDescent="0.5"/>
    <row r="20" spans="1:8" x14ac:dyDescent="0.5"/>
    <row r="21" spans="1:8" x14ac:dyDescent="0.5"/>
    <row r="22" spans="1:8" x14ac:dyDescent="0.5"/>
    <row r="23" spans="1:8" x14ac:dyDescent="0.5"/>
    <row r="24" spans="1:8" x14ac:dyDescent="0.5"/>
    <row r="25" spans="1:8" x14ac:dyDescent="0.5"/>
    <row r="26" spans="1:8" x14ac:dyDescent="0.5"/>
    <row r="27" spans="1:8" x14ac:dyDescent="0.5"/>
  </sheetData>
  <sheetProtection formatCells="0" formatRows="0" insertRows="0" deleteRows="0"/>
  <mergeCells count="20">
    <mergeCell ref="A17:H18"/>
    <mergeCell ref="A6:C6"/>
    <mergeCell ref="D6:F6"/>
    <mergeCell ref="G6:H6"/>
    <mergeCell ref="A7:C7"/>
    <mergeCell ref="D7:E7"/>
    <mergeCell ref="F7:F8"/>
    <mergeCell ref="G7:G8"/>
    <mergeCell ref="H7:H8"/>
    <mergeCell ref="A11:C11"/>
    <mergeCell ref="A12:H12"/>
    <mergeCell ref="A13:H13"/>
    <mergeCell ref="A14:H14"/>
    <mergeCell ref="A16:H16"/>
    <mergeCell ref="A1:H1"/>
    <mergeCell ref="A2:H2"/>
    <mergeCell ref="A3:B3"/>
    <mergeCell ref="C3:H3"/>
    <mergeCell ref="A4:B4"/>
    <mergeCell ref="C4:H4"/>
  </mergeCells>
  <dataValidations count="1">
    <dataValidation type="list" allowBlank="1" showInputMessage="1" showErrorMessage="1" sqref="AN8:AN9">
      <formula1>$AN$8:$AN$9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'[5]AÇÕES ESTRATÉGICAS - DESCRIÇÃO '!#REF!</xm:f>
          </x14:formula1>
          <xm:sqref>C9:C10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rgb="FFFFFF00"/>
  </sheetPr>
  <dimension ref="A1:AN27"/>
  <sheetViews>
    <sheetView showGridLines="0" zoomScale="80" zoomScaleNormal="80" zoomScaleSheetLayoutView="80" workbookViewId="0">
      <selection activeCell="E10" sqref="E10"/>
    </sheetView>
  </sheetViews>
  <sheetFormatPr defaultColWidth="0" defaultRowHeight="25.8" zeroHeight="1" x14ac:dyDescent="0.5"/>
  <cols>
    <col min="1" max="1" width="18.44140625" style="265" customWidth="1"/>
    <col min="2" max="2" width="79.6640625" style="265" customWidth="1"/>
    <col min="3" max="3" width="22.109375" style="265" customWidth="1"/>
    <col min="4" max="5" width="18.44140625" style="265" customWidth="1"/>
    <col min="6" max="6" width="14.33203125" style="265" customWidth="1"/>
    <col min="7" max="8" width="18.109375" style="289" hidden="1" customWidth="1"/>
    <col min="9" max="9" width="10.33203125" style="265" bestFit="1" customWidth="1"/>
    <col min="10" max="40" width="0" style="266" hidden="1" customWidth="1"/>
    <col min="41" max="16384" width="36.88671875" style="266" hidden="1"/>
  </cols>
  <sheetData>
    <row r="1" spans="1:40" x14ac:dyDescent="0.5">
      <c r="A1" s="531" t="s">
        <v>559</v>
      </c>
      <c r="B1" s="532"/>
      <c r="C1" s="532"/>
      <c r="D1" s="532"/>
      <c r="E1" s="532"/>
      <c r="F1" s="532"/>
      <c r="G1" s="532"/>
      <c r="H1" s="533"/>
    </row>
    <row r="2" spans="1:40" ht="63.75" customHeight="1" x14ac:dyDescent="0.5">
      <c r="A2" s="534" t="s">
        <v>560</v>
      </c>
      <c r="B2" s="534"/>
      <c r="C2" s="534"/>
      <c r="D2" s="534"/>
      <c r="E2" s="534"/>
      <c r="F2" s="534"/>
      <c r="G2" s="534"/>
      <c r="H2" s="535"/>
    </row>
    <row r="3" spans="1:40" x14ac:dyDescent="0.5">
      <c r="A3" s="536" t="s">
        <v>561</v>
      </c>
      <c r="B3" s="537"/>
      <c r="C3" s="557" t="str">
        <f>'Quadro Geral'!C17</f>
        <v>Manutenção das atividades operacionais da CPUA - comissão de políticas urbanas e ambientais</v>
      </c>
      <c r="D3" s="557"/>
      <c r="E3" s="557"/>
      <c r="F3" s="557"/>
      <c r="G3" s="557"/>
      <c r="H3" s="558"/>
      <c r="N3" s="267"/>
      <c r="O3" s="268"/>
      <c r="P3" s="268"/>
      <c r="Q3" s="268"/>
      <c r="R3" s="268"/>
      <c r="S3" s="268"/>
      <c r="T3" s="268"/>
      <c r="U3" s="268"/>
      <c r="V3" s="268"/>
      <c r="W3" s="268"/>
    </row>
    <row r="4" spans="1:40" ht="30.75" customHeight="1" x14ac:dyDescent="0.5">
      <c r="A4" s="537" t="s">
        <v>34</v>
      </c>
      <c r="B4" s="537"/>
      <c r="C4" s="557" t="str">
        <f>'Quadro Geral'!E17</f>
        <v>Estimular a produção da Arquitetura e Urbanismo como política de Estado</v>
      </c>
      <c r="D4" s="557"/>
      <c r="E4" s="557"/>
      <c r="F4" s="557"/>
      <c r="G4" s="557"/>
      <c r="H4" s="558"/>
      <c r="V4" s="268"/>
      <c r="W4" s="268"/>
    </row>
    <row r="5" spans="1:40" s="272" customFormat="1" ht="49.5" customHeight="1" x14ac:dyDescent="0.5">
      <c r="A5" s="269"/>
      <c r="B5" s="269"/>
      <c r="C5" s="269"/>
      <c r="D5" s="270"/>
      <c r="E5" s="270"/>
      <c r="F5" s="270"/>
      <c r="G5" s="270" t="s">
        <v>155</v>
      </c>
      <c r="H5" s="270"/>
      <c r="I5" s="271"/>
      <c r="N5" s="273"/>
      <c r="O5" s="274"/>
      <c r="P5" s="274"/>
      <c r="Q5" s="274"/>
      <c r="R5" s="274"/>
      <c r="S5" s="274"/>
      <c r="T5" s="274"/>
      <c r="U5" s="274"/>
      <c r="V5" s="274"/>
      <c r="W5" s="274"/>
    </row>
    <row r="6" spans="1:40" x14ac:dyDescent="0.5">
      <c r="A6" s="540" t="s">
        <v>562</v>
      </c>
      <c r="B6" s="541"/>
      <c r="C6" s="541"/>
      <c r="D6" s="540" t="s">
        <v>563</v>
      </c>
      <c r="E6" s="541"/>
      <c r="F6" s="542"/>
      <c r="G6" s="543" t="s">
        <v>564</v>
      </c>
      <c r="H6" s="544"/>
      <c r="M6" s="274"/>
      <c r="N6" s="274"/>
      <c r="O6" s="274"/>
      <c r="P6" s="274"/>
      <c r="Q6" s="274"/>
      <c r="R6" s="274"/>
      <c r="S6" s="274"/>
      <c r="T6" s="274"/>
      <c r="U6" s="268"/>
      <c r="V6" s="268"/>
      <c r="W6" s="268"/>
    </row>
    <row r="7" spans="1:40" x14ac:dyDescent="0.5">
      <c r="A7" s="540" t="s">
        <v>565</v>
      </c>
      <c r="B7" s="541"/>
      <c r="C7" s="542"/>
      <c r="D7" s="540" t="s">
        <v>566</v>
      </c>
      <c r="E7" s="542"/>
      <c r="F7" s="545" t="s">
        <v>567</v>
      </c>
      <c r="G7" s="546" t="s">
        <v>568</v>
      </c>
      <c r="H7" s="546" t="s">
        <v>569</v>
      </c>
      <c r="M7" s="274"/>
      <c r="N7" s="274"/>
      <c r="O7" s="274"/>
      <c r="P7" s="274"/>
      <c r="Q7" s="274"/>
      <c r="R7" s="274"/>
      <c r="S7" s="274"/>
      <c r="T7" s="274"/>
      <c r="U7" s="268"/>
      <c r="V7" s="268"/>
      <c r="W7" s="268"/>
    </row>
    <row r="8" spans="1:40" ht="63" customHeight="1" x14ac:dyDescent="0.5">
      <c r="A8" s="275" t="s">
        <v>570</v>
      </c>
      <c r="B8" s="275" t="s">
        <v>571</v>
      </c>
      <c r="C8" s="276" t="s">
        <v>572</v>
      </c>
      <c r="D8" s="275" t="s">
        <v>573</v>
      </c>
      <c r="E8" s="275" t="s">
        <v>574</v>
      </c>
      <c r="F8" s="545"/>
      <c r="G8" s="547"/>
      <c r="H8" s="547"/>
      <c r="M8" s="274"/>
      <c r="N8" s="274"/>
      <c r="O8" s="274"/>
      <c r="P8" s="274"/>
      <c r="Q8" s="274"/>
      <c r="R8" s="274"/>
      <c r="S8" s="274"/>
      <c r="T8" s="274"/>
      <c r="U8" s="268"/>
      <c r="V8" s="268"/>
      <c r="W8" s="268"/>
      <c r="AN8" s="266" t="s">
        <v>72</v>
      </c>
    </row>
    <row r="9" spans="1:40" ht="32.25" customHeight="1" x14ac:dyDescent="0.5">
      <c r="A9" s="12">
        <v>30</v>
      </c>
      <c r="B9" s="265" t="s">
        <v>579</v>
      </c>
      <c r="C9" s="12"/>
      <c r="D9" s="13">
        <v>19986.75</v>
      </c>
      <c r="E9" s="13">
        <f>40646.3/2</f>
        <v>20323.150000000001</v>
      </c>
      <c r="F9" s="277">
        <f t="shared" ref="F9:F10" si="0">IFERROR(E9/D9*100-100,)</f>
        <v>1.6831150637297299</v>
      </c>
      <c r="G9" s="13"/>
      <c r="H9" s="278">
        <f t="shared" ref="H9:H10" si="1">IFERROR(G9/E9*100,)</f>
        <v>0</v>
      </c>
      <c r="M9" s="274"/>
      <c r="N9" s="267"/>
      <c r="O9" s="268"/>
      <c r="P9" s="268"/>
      <c r="Q9" s="268"/>
      <c r="R9" s="268"/>
      <c r="S9" s="268"/>
      <c r="T9" s="268"/>
      <c r="U9" s="268"/>
      <c r="V9" s="268"/>
      <c r="W9" s="268"/>
      <c r="AN9" s="266" t="s">
        <v>575</v>
      </c>
    </row>
    <row r="10" spans="1:40" s="284" customFormat="1" x14ac:dyDescent="0.3">
      <c r="A10" s="552" t="s">
        <v>0</v>
      </c>
      <c r="B10" s="552"/>
      <c r="C10" s="552"/>
      <c r="D10" s="280">
        <f>SUM(D9:D9)</f>
        <v>19986.75</v>
      </c>
      <c r="E10" s="280">
        <f>SUM(E9:E9)</f>
        <v>20323.150000000001</v>
      </c>
      <c r="F10" s="281">
        <f t="shared" si="0"/>
        <v>1.6831150637297299</v>
      </c>
      <c r="G10" s="280">
        <f>SUM(G9:G9)</f>
        <v>0</v>
      </c>
      <c r="H10" s="282">
        <f t="shared" si="1"/>
        <v>0</v>
      </c>
      <c r="I10" s="283"/>
    </row>
    <row r="11" spans="1:40" x14ac:dyDescent="0.5">
      <c r="A11" s="553"/>
      <c r="B11" s="553"/>
      <c r="C11" s="553"/>
      <c r="D11" s="553"/>
      <c r="E11" s="553"/>
      <c r="F11" s="553"/>
      <c r="G11" s="553"/>
      <c r="H11" s="553"/>
    </row>
    <row r="12" spans="1:40" x14ac:dyDescent="0.5">
      <c r="A12" s="554" t="s">
        <v>227</v>
      </c>
      <c r="B12" s="555"/>
      <c r="C12" s="555"/>
      <c r="D12" s="555"/>
      <c r="E12" s="555"/>
      <c r="F12" s="555"/>
      <c r="G12" s="555"/>
      <c r="H12" s="556"/>
      <c r="J12" s="285"/>
    </row>
    <row r="13" spans="1:40" x14ac:dyDescent="0.5">
      <c r="A13" s="549"/>
      <c r="B13" s="550"/>
      <c r="C13" s="550"/>
      <c r="D13" s="550"/>
      <c r="E13" s="550"/>
      <c r="F13" s="550"/>
      <c r="G13" s="550"/>
      <c r="H13" s="551"/>
    </row>
    <row r="14" spans="1:40" x14ac:dyDescent="0.5">
      <c r="A14" s="286"/>
      <c r="B14" s="286"/>
      <c r="C14" s="286"/>
      <c r="D14" s="286"/>
      <c r="E14" s="286"/>
      <c r="F14" s="286"/>
      <c r="G14" s="286"/>
      <c r="H14" s="286"/>
    </row>
    <row r="15" spans="1:40" x14ac:dyDescent="0.5">
      <c r="A15" s="554" t="s">
        <v>577</v>
      </c>
      <c r="B15" s="555"/>
      <c r="C15" s="555"/>
      <c r="D15" s="555"/>
      <c r="E15" s="555"/>
      <c r="F15" s="555"/>
      <c r="G15" s="555"/>
      <c r="H15" s="556"/>
      <c r="I15" s="287"/>
      <c r="J15" s="288"/>
      <c r="K15" s="288"/>
      <c r="L15" s="272"/>
    </row>
    <row r="16" spans="1:40" ht="129" customHeight="1" x14ac:dyDescent="0.5">
      <c r="A16" s="548" t="s">
        <v>578</v>
      </c>
      <c r="B16" s="548"/>
      <c r="C16" s="548"/>
      <c r="D16" s="548"/>
      <c r="E16" s="548"/>
      <c r="F16" s="548"/>
      <c r="G16" s="548"/>
      <c r="H16" s="548"/>
    </row>
    <row r="17" spans="1:8" ht="181.5" customHeight="1" x14ac:dyDescent="0.5">
      <c r="A17" s="548"/>
      <c r="B17" s="548"/>
      <c r="C17" s="548"/>
      <c r="D17" s="548"/>
      <c r="E17" s="548"/>
      <c r="F17" s="548"/>
      <c r="G17" s="548"/>
      <c r="H17" s="548"/>
    </row>
    <row r="18" spans="1:8" x14ac:dyDescent="0.5"/>
    <row r="19" spans="1:8" x14ac:dyDescent="0.5"/>
    <row r="20" spans="1:8" x14ac:dyDescent="0.5"/>
    <row r="21" spans="1:8" x14ac:dyDescent="0.5"/>
    <row r="22" spans="1:8" x14ac:dyDescent="0.5"/>
    <row r="23" spans="1:8" x14ac:dyDescent="0.5"/>
    <row r="24" spans="1:8" x14ac:dyDescent="0.5"/>
    <row r="25" spans="1:8" x14ac:dyDescent="0.5"/>
    <row r="26" spans="1:8" x14ac:dyDescent="0.5"/>
    <row r="27" spans="1:8" x14ac:dyDescent="0.5"/>
  </sheetData>
  <sheetProtection formatCells="0" formatRows="0" insertRows="0" deleteRows="0"/>
  <mergeCells count="20">
    <mergeCell ref="A16:H17"/>
    <mergeCell ref="A6:C6"/>
    <mergeCell ref="D6:F6"/>
    <mergeCell ref="G6:H6"/>
    <mergeCell ref="A7:C7"/>
    <mergeCell ref="D7:E7"/>
    <mergeCell ref="F7:F8"/>
    <mergeCell ref="G7:G8"/>
    <mergeCell ref="H7:H8"/>
    <mergeCell ref="A10:C10"/>
    <mergeCell ref="A11:H11"/>
    <mergeCell ref="A12:H12"/>
    <mergeCell ref="A13:H13"/>
    <mergeCell ref="A15:H15"/>
    <mergeCell ref="A1:H1"/>
    <mergeCell ref="A2:H2"/>
    <mergeCell ref="A3:B3"/>
    <mergeCell ref="C3:H3"/>
    <mergeCell ref="A4:B4"/>
    <mergeCell ref="C4:H4"/>
  </mergeCells>
  <dataValidations count="1">
    <dataValidation type="list" allowBlank="1" showInputMessage="1" showErrorMessage="1" sqref="AN8:AN9">
      <formula1>$AN$8:$AN$9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'[5]AÇÕES ESTRATÉGICAS - DESCRIÇÃO '!#REF!</xm:f>
          </x14:formula1>
          <xm:sqref>C9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tabColor rgb="FFFFFF00"/>
  </sheetPr>
  <dimension ref="A1:AN27"/>
  <sheetViews>
    <sheetView showGridLines="0" zoomScale="80" zoomScaleNormal="80" zoomScaleSheetLayoutView="80" workbookViewId="0">
      <selection activeCell="E10" sqref="E10"/>
    </sheetView>
  </sheetViews>
  <sheetFormatPr defaultColWidth="0" defaultRowHeight="25.8" zeroHeight="1" x14ac:dyDescent="0.5"/>
  <cols>
    <col min="1" max="1" width="18.44140625" style="265" customWidth="1"/>
    <col min="2" max="2" width="79.6640625" style="265" customWidth="1"/>
    <col min="3" max="3" width="22.109375" style="265" customWidth="1"/>
    <col min="4" max="5" width="18.44140625" style="265" customWidth="1"/>
    <col min="6" max="6" width="14.33203125" style="265" customWidth="1"/>
    <col min="7" max="8" width="18.109375" style="289" hidden="1" customWidth="1"/>
    <col min="9" max="9" width="10.33203125" style="265" bestFit="1" customWidth="1"/>
    <col min="10" max="40" width="0" style="266" hidden="1" customWidth="1"/>
    <col min="41" max="16384" width="36.88671875" style="266" hidden="1"/>
  </cols>
  <sheetData>
    <row r="1" spans="1:40" x14ac:dyDescent="0.5">
      <c r="A1" s="531" t="s">
        <v>559</v>
      </c>
      <c r="B1" s="532"/>
      <c r="C1" s="532"/>
      <c r="D1" s="532"/>
      <c r="E1" s="532"/>
      <c r="F1" s="532"/>
      <c r="G1" s="532"/>
      <c r="H1" s="533"/>
    </row>
    <row r="2" spans="1:40" ht="63.75" customHeight="1" x14ac:dyDescent="0.5">
      <c r="A2" s="534" t="s">
        <v>560</v>
      </c>
      <c r="B2" s="534"/>
      <c r="C2" s="534"/>
      <c r="D2" s="534"/>
      <c r="E2" s="534"/>
      <c r="F2" s="534"/>
      <c r="G2" s="534"/>
      <c r="H2" s="535"/>
    </row>
    <row r="3" spans="1:40" x14ac:dyDescent="0.5">
      <c r="A3" s="536" t="s">
        <v>561</v>
      </c>
      <c r="B3" s="537"/>
      <c r="C3" s="557" t="str">
        <f>'Quadro Geral'!C18</f>
        <v>Manutenção das atividades operacionais do CEAU - colegiado das entidades estaduais de arquitetos e urbanistas do CAU/RS</v>
      </c>
      <c r="D3" s="557"/>
      <c r="E3" s="557"/>
      <c r="F3" s="557"/>
      <c r="G3" s="557"/>
      <c r="H3" s="558"/>
      <c r="N3" s="267"/>
      <c r="O3" s="268"/>
      <c r="P3" s="268"/>
      <c r="Q3" s="268"/>
      <c r="R3" s="268"/>
      <c r="S3" s="268"/>
      <c r="T3" s="268"/>
      <c r="U3" s="268"/>
      <c r="V3" s="268"/>
      <c r="W3" s="268"/>
    </row>
    <row r="4" spans="1:40" ht="30.75" customHeight="1" x14ac:dyDescent="0.5">
      <c r="A4" s="537" t="s">
        <v>34</v>
      </c>
      <c r="B4" s="537"/>
      <c r="C4" s="557" t="str">
        <f>'Quadro Geral'!E18</f>
        <v>Estimular o conhecimento, o uso de processos criativos e a difusão das melhores práticas em Arquitetura e Urbanismo</v>
      </c>
      <c r="D4" s="557"/>
      <c r="E4" s="557"/>
      <c r="F4" s="557"/>
      <c r="G4" s="557"/>
      <c r="H4" s="558"/>
      <c r="V4" s="268"/>
      <c r="W4" s="268"/>
    </row>
    <row r="5" spans="1:40" s="272" customFormat="1" ht="49.5" customHeight="1" x14ac:dyDescent="0.5">
      <c r="A5" s="269"/>
      <c r="B5" s="269"/>
      <c r="C5" s="269"/>
      <c r="D5" s="270"/>
      <c r="E5" s="270"/>
      <c r="F5" s="270"/>
      <c r="G5" s="270" t="s">
        <v>155</v>
      </c>
      <c r="H5" s="270"/>
      <c r="I5" s="271"/>
      <c r="N5" s="273"/>
      <c r="O5" s="274"/>
      <c r="P5" s="274"/>
      <c r="Q5" s="274"/>
      <c r="R5" s="274"/>
      <c r="S5" s="274"/>
      <c r="T5" s="274"/>
      <c r="U5" s="274"/>
      <c r="V5" s="274"/>
      <c r="W5" s="274"/>
    </row>
    <row r="6" spans="1:40" x14ac:dyDescent="0.5">
      <c r="A6" s="540" t="s">
        <v>562</v>
      </c>
      <c r="B6" s="541"/>
      <c r="C6" s="541"/>
      <c r="D6" s="540" t="s">
        <v>563</v>
      </c>
      <c r="E6" s="541"/>
      <c r="F6" s="542"/>
      <c r="G6" s="543" t="s">
        <v>564</v>
      </c>
      <c r="H6" s="544"/>
      <c r="M6" s="274"/>
      <c r="N6" s="274"/>
      <c r="O6" s="274"/>
      <c r="P6" s="274"/>
      <c r="Q6" s="274"/>
      <c r="R6" s="274"/>
      <c r="S6" s="274"/>
      <c r="T6" s="274"/>
      <c r="U6" s="268"/>
      <c r="V6" s="268"/>
      <c r="W6" s="268"/>
    </row>
    <row r="7" spans="1:40" x14ac:dyDescent="0.5">
      <c r="A7" s="540" t="s">
        <v>565</v>
      </c>
      <c r="B7" s="541"/>
      <c r="C7" s="542"/>
      <c r="D7" s="540" t="s">
        <v>566</v>
      </c>
      <c r="E7" s="542"/>
      <c r="F7" s="545" t="s">
        <v>567</v>
      </c>
      <c r="G7" s="546" t="s">
        <v>568</v>
      </c>
      <c r="H7" s="546" t="s">
        <v>569</v>
      </c>
      <c r="M7" s="274"/>
      <c r="N7" s="274"/>
      <c r="O7" s="274"/>
      <c r="P7" s="274"/>
      <c r="Q7" s="274"/>
      <c r="R7" s="274"/>
      <c r="S7" s="274"/>
      <c r="T7" s="274"/>
      <c r="U7" s="268"/>
      <c r="V7" s="268"/>
      <c r="W7" s="268"/>
    </row>
    <row r="8" spans="1:40" ht="63" customHeight="1" x14ac:dyDescent="0.5">
      <c r="A8" s="275" t="s">
        <v>570</v>
      </c>
      <c r="B8" s="275" t="s">
        <v>571</v>
      </c>
      <c r="C8" s="276" t="s">
        <v>572</v>
      </c>
      <c r="D8" s="275" t="s">
        <v>573</v>
      </c>
      <c r="E8" s="275" t="s">
        <v>574</v>
      </c>
      <c r="F8" s="545"/>
      <c r="G8" s="547"/>
      <c r="H8" s="547"/>
      <c r="M8" s="274"/>
      <c r="N8" s="274"/>
      <c r="O8" s="274"/>
      <c r="P8" s="274"/>
      <c r="Q8" s="274"/>
      <c r="R8" s="274"/>
      <c r="S8" s="274"/>
      <c r="T8" s="274"/>
      <c r="U8" s="268"/>
      <c r="V8" s="268"/>
      <c r="W8" s="268"/>
      <c r="AN8" s="266" t="s">
        <v>72</v>
      </c>
    </row>
    <row r="9" spans="1:40" ht="32.25" customHeight="1" x14ac:dyDescent="0.5">
      <c r="A9" s="12"/>
      <c r="B9" s="265" t="s">
        <v>579</v>
      </c>
      <c r="C9" s="12"/>
      <c r="D9" s="13">
        <v>26932.5</v>
      </c>
      <c r="E9" s="13">
        <f>63008.8/2</f>
        <v>31504.400000000001</v>
      </c>
      <c r="F9" s="277">
        <f t="shared" ref="F9:F10" si="0">IFERROR(E9/D9*100-100,)</f>
        <v>16.975401466629549</v>
      </c>
      <c r="G9" s="13"/>
      <c r="H9" s="278">
        <f t="shared" ref="H9:H10" si="1">IFERROR(G9/E9*100,)</f>
        <v>0</v>
      </c>
      <c r="M9" s="274"/>
      <c r="N9" s="267"/>
      <c r="O9" s="268"/>
      <c r="P9" s="268"/>
      <c r="Q9" s="268"/>
      <c r="R9" s="268"/>
      <c r="S9" s="268"/>
      <c r="T9" s="268"/>
      <c r="U9" s="268"/>
      <c r="V9" s="268"/>
      <c r="W9" s="268"/>
      <c r="AN9" s="266" t="s">
        <v>575</v>
      </c>
    </row>
    <row r="10" spans="1:40" s="284" customFormat="1" x14ac:dyDescent="0.3">
      <c r="A10" s="552" t="s">
        <v>0</v>
      </c>
      <c r="B10" s="552"/>
      <c r="C10" s="552"/>
      <c r="D10" s="280">
        <f>SUM(D9:D9)</f>
        <v>26932.5</v>
      </c>
      <c r="E10" s="280">
        <f>SUM(E9:E9)</f>
        <v>31504.400000000001</v>
      </c>
      <c r="F10" s="281">
        <f t="shared" si="0"/>
        <v>16.975401466629549</v>
      </c>
      <c r="G10" s="280">
        <f>SUM(G9:G9)</f>
        <v>0</v>
      </c>
      <c r="H10" s="282">
        <f t="shared" si="1"/>
        <v>0</v>
      </c>
      <c r="I10" s="283"/>
    </row>
    <row r="11" spans="1:40" x14ac:dyDescent="0.5">
      <c r="A11" s="553"/>
      <c r="B11" s="553"/>
      <c r="C11" s="553"/>
      <c r="D11" s="553"/>
      <c r="E11" s="553"/>
      <c r="F11" s="553"/>
      <c r="G11" s="553"/>
      <c r="H11" s="553"/>
    </row>
    <row r="12" spans="1:40" x14ac:dyDescent="0.5">
      <c r="A12" s="554" t="s">
        <v>227</v>
      </c>
      <c r="B12" s="555"/>
      <c r="C12" s="555"/>
      <c r="D12" s="555"/>
      <c r="E12" s="555"/>
      <c r="F12" s="555"/>
      <c r="G12" s="555"/>
      <c r="H12" s="556"/>
      <c r="J12" s="285"/>
    </row>
    <row r="13" spans="1:40" x14ac:dyDescent="0.5">
      <c r="A13" s="549"/>
      <c r="B13" s="550"/>
      <c r="C13" s="550"/>
      <c r="D13" s="550"/>
      <c r="E13" s="550"/>
      <c r="F13" s="550"/>
      <c r="G13" s="550"/>
      <c r="H13" s="551"/>
    </row>
    <row r="14" spans="1:40" x14ac:dyDescent="0.5">
      <c r="A14" s="286"/>
      <c r="B14" s="286"/>
      <c r="C14" s="286"/>
      <c r="D14" s="286"/>
      <c r="E14" s="286"/>
      <c r="F14" s="286"/>
      <c r="G14" s="286"/>
      <c r="H14" s="286"/>
    </row>
    <row r="15" spans="1:40" x14ac:dyDescent="0.5">
      <c r="A15" s="554" t="s">
        <v>577</v>
      </c>
      <c r="B15" s="555"/>
      <c r="C15" s="555"/>
      <c r="D15" s="555"/>
      <c r="E15" s="555"/>
      <c r="F15" s="555"/>
      <c r="G15" s="555"/>
      <c r="H15" s="556"/>
      <c r="I15" s="287"/>
      <c r="J15" s="288"/>
      <c r="K15" s="288"/>
      <c r="L15" s="272"/>
    </row>
    <row r="16" spans="1:40" ht="129" customHeight="1" x14ac:dyDescent="0.5">
      <c r="A16" s="548" t="s">
        <v>578</v>
      </c>
      <c r="B16" s="548"/>
      <c r="C16" s="548"/>
      <c r="D16" s="548"/>
      <c r="E16" s="548"/>
      <c r="F16" s="548"/>
      <c r="G16" s="548"/>
      <c r="H16" s="548"/>
    </row>
    <row r="17" spans="1:8" ht="181.5" customHeight="1" x14ac:dyDescent="0.5">
      <c r="A17" s="548"/>
      <c r="B17" s="548"/>
      <c r="C17" s="548"/>
      <c r="D17" s="548"/>
      <c r="E17" s="548"/>
      <c r="F17" s="548"/>
      <c r="G17" s="548"/>
      <c r="H17" s="548"/>
    </row>
    <row r="18" spans="1:8" x14ac:dyDescent="0.5"/>
    <row r="19" spans="1:8" x14ac:dyDescent="0.5"/>
    <row r="20" spans="1:8" x14ac:dyDescent="0.5"/>
    <row r="21" spans="1:8" x14ac:dyDescent="0.5"/>
    <row r="22" spans="1:8" x14ac:dyDescent="0.5"/>
    <row r="23" spans="1:8" x14ac:dyDescent="0.5"/>
    <row r="24" spans="1:8" x14ac:dyDescent="0.5"/>
    <row r="25" spans="1:8" x14ac:dyDescent="0.5"/>
    <row r="26" spans="1:8" x14ac:dyDescent="0.5"/>
    <row r="27" spans="1:8" x14ac:dyDescent="0.5"/>
  </sheetData>
  <sheetProtection formatCells="0" formatRows="0" insertRows="0" deleteRows="0"/>
  <mergeCells count="20">
    <mergeCell ref="A16:H17"/>
    <mergeCell ref="A6:C6"/>
    <mergeCell ref="D6:F6"/>
    <mergeCell ref="G6:H6"/>
    <mergeCell ref="A7:C7"/>
    <mergeCell ref="D7:E7"/>
    <mergeCell ref="F7:F8"/>
    <mergeCell ref="G7:G8"/>
    <mergeCell ref="H7:H8"/>
    <mergeCell ref="A10:C10"/>
    <mergeCell ref="A11:H11"/>
    <mergeCell ref="A12:H12"/>
    <mergeCell ref="A13:H13"/>
    <mergeCell ref="A15:H15"/>
    <mergeCell ref="A1:H1"/>
    <mergeCell ref="A2:H2"/>
    <mergeCell ref="A3:B3"/>
    <mergeCell ref="C3:H3"/>
    <mergeCell ref="A4:B4"/>
    <mergeCell ref="C4:H4"/>
  </mergeCells>
  <dataValidations count="1">
    <dataValidation type="list" allowBlank="1" showInputMessage="1" showErrorMessage="1" sqref="AN8:AN9">
      <formula1>$AN$8:$AN$9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'[5]AÇÕES ESTRATÉGICAS - DESCRIÇÃO '!#REF!</xm:f>
          </x14:formula1>
          <xm:sqref>C9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>
    <tabColor rgb="FFFFFF00"/>
  </sheetPr>
  <dimension ref="A1:AN27"/>
  <sheetViews>
    <sheetView showGridLines="0" zoomScale="80" zoomScaleNormal="80" zoomScaleSheetLayoutView="80" workbookViewId="0">
      <selection activeCell="E10" sqref="E10"/>
    </sheetView>
  </sheetViews>
  <sheetFormatPr defaultColWidth="0" defaultRowHeight="25.8" zeroHeight="1" x14ac:dyDescent="0.5"/>
  <cols>
    <col min="1" max="1" width="18.44140625" style="265" customWidth="1"/>
    <col min="2" max="2" width="79.6640625" style="265" customWidth="1"/>
    <col min="3" max="3" width="22.109375" style="265" customWidth="1"/>
    <col min="4" max="5" width="18.44140625" style="265" customWidth="1"/>
    <col min="6" max="6" width="14.33203125" style="265" customWidth="1"/>
    <col min="7" max="8" width="18.109375" style="289" hidden="1" customWidth="1"/>
    <col min="9" max="9" width="10.33203125" style="265" bestFit="1" customWidth="1"/>
    <col min="10" max="40" width="0" style="266" hidden="1" customWidth="1"/>
    <col min="41" max="16384" width="36.88671875" style="266" hidden="1"/>
  </cols>
  <sheetData>
    <row r="1" spans="1:40" x14ac:dyDescent="0.5">
      <c r="A1" s="531" t="s">
        <v>559</v>
      </c>
      <c r="B1" s="532"/>
      <c r="C1" s="532"/>
      <c r="D1" s="532"/>
      <c r="E1" s="532"/>
      <c r="F1" s="532"/>
      <c r="G1" s="532"/>
      <c r="H1" s="533"/>
    </row>
    <row r="2" spans="1:40" ht="63.75" customHeight="1" x14ac:dyDescent="0.5">
      <c r="A2" s="534" t="s">
        <v>560</v>
      </c>
      <c r="B2" s="534"/>
      <c r="C2" s="534"/>
      <c r="D2" s="534"/>
      <c r="E2" s="534"/>
      <c r="F2" s="534"/>
      <c r="G2" s="534"/>
      <c r="H2" s="535"/>
    </row>
    <row r="3" spans="1:40" x14ac:dyDescent="0.5">
      <c r="A3" s="536" t="s">
        <v>561</v>
      </c>
      <c r="B3" s="537"/>
      <c r="C3" s="538" t="str">
        <f>'Quadro Geral'!C19</f>
        <v>Manutenção das atividades operacionais da comissão de patrimônio cultural</v>
      </c>
      <c r="D3" s="538"/>
      <c r="E3" s="538"/>
      <c r="F3" s="538"/>
      <c r="G3" s="538"/>
      <c r="H3" s="539"/>
      <c r="N3" s="267"/>
      <c r="O3" s="268"/>
      <c r="P3" s="268"/>
      <c r="Q3" s="268"/>
      <c r="R3" s="268"/>
      <c r="S3" s="268"/>
      <c r="T3" s="268"/>
      <c r="U3" s="268"/>
      <c r="V3" s="268"/>
      <c r="W3" s="268"/>
    </row>
    <row r="4" spans="1:40" ht="30.75" customHeight="1" x14ac:dyDescent="0.5">
      <c r="A4" s="537" t="s">
        <v>34</v>
      </c>
      <c r="B4" s="537"/>
      <c r="C4" s="561" t="str">
        <f>'Quadro Geral'!E19</f>
        <v>Estimular a produção da Arquitetura e Urbanismo como política de Estado</v>
      </c>
      <c r="D4" s="561"/>
      <c r="E4" s="561"/>
      <c r="F4" s="561"/>
      <c r="G4" s="561"/>
      <c r="H4" s="562"/>
      <c r="V4" s="268"/>
      <c r="W4" s="268"/>
    </row>
    <row r="5" spans="1:40" s="272" customFormat="1" ht="49.5" customHeight="1" x14ac:dyDescent="0.5">
      <c r="A5" s="269"/>
      <c r="B5" s="269"/>
      <c r="C5" s="269"/>
      <c r="D5" s="270"/>
      <c r="E5" s="270"/>
      <c r="F5" s="270"/>
      <c r="G5" s="270" t="s">
        <v>155</v>
      </c>
      <c r="H5" s="270"/>
      <c r="I5" s="271"/>
      <c r="N5" s="273"/>
      <c r="O5" s="274"/>
      <c r="P5" s="274"/>
      <c r="Q5" s="274"/>
      <c r="R5" s="274"/>
      <c r="S5" s="274"/>
      <c r="T5" s="274"/>
      <c r="U5" s="274"/>
      <c r="V5" s="274"/>
      <c r="W5" s="274"/>
    </row>
    <row r="6" spans="1:40" x14ac:dyDescent="0.5">
      <c r="A6" s="540" t="s">
        <v>562</v>
      </c>
      <c r="B6" s="541"/>
      <c r="C6" s="541"/>
      <c r="D6" s="540" t="s">
        <v>563</v>
      </c>
      <c r="E6" s="541"/>
      <c r="F6" s="542"/>
      <c r="G6" s="543" t="s">
        <v>564</v>
      </c>
      <c r="H6" s="544"/>
      <c r="M6" s="274"/>
      <c r="N6" s="274"/>
      <c r="O6" s="274"/>
      <c r="P6" s="274"/>
      <c r="Q6" s="274"/>
      <c r="R6" s="274"/>
      <c r="S6" s="274"/>
      <c r="T6" s="274"/>
      <c r="U6" s="268"/>
      <c r="V6" s="268"/>
      <c r="W6" s="268"/>
    </row>
    <row r="7" spans="1:40" x14ac:dyDescent="0.5">
      <c r="A7" s="540" t="s">
        <v>565</v>
      </c>
      <c r="B7" s="541"/>
      <c r="C7" s="542"/>
      <c r="D7" s="540" t="s">
        <v>566</v>
      </c>
      <c r="E7" s="542"/>
      <c r="F7" s="545" t="s">
        <v>567</v>
      </c>
      <c r="G7" s="546" t="s">
        <v>568</v>
      </c>
      <c r="H7" s="546" t="s">
        <v>569</v>
      </c>
      <c r="M7" s="274"/>
      <c r="N7" s="274"/>
      <c r="O7" s="274"/>
      <c r="P7" s="274"/>
      <c r="Q7" s="274"/>
      <c r="R7" s="274"/>
      <c r="S7" s="274"/>
      <c r="T7" s="274"/>
      <c r="U7" s="268"/>
      <c r="V7" s="268"/>
      <c r="W7" s="268"/>
    </row>
    <row r="8" spans="1:40" ht="63" customHeight="1" x14ac:dyDescent="0.5">
      <c r="A8" s="275" t="s">
        <v>570</v>
      </c>
      <c r="B8" s="275" t="s">
        <v>571</v>
      </c>
      <c r="C8" s="276" t="s">
        <v>572</v>
      </c>
      <c r="D8" s="275" t="s">
        <v>573</v>
      </c>
      <c r="E8" s="275" t="s">
        <v>574</v>
      </c>
      <c r="F8" s="545"/>
      <c r="G8" s="547"/>
      <c r="H8" s="547"/>
      <c r="M8" s="274"/>
      <c r="N8" s="274"/>
      <c r="O8" s="274"/>
      <c r="P8" s="274"/>
      <c r="Q8" s="274"/>
      <c r="R8" s="274"/>
      <c r="S8" s="274"/>
      <c r="T8" s="274"/>
      <c r="U8" s="268"/>
      <c r="V8" s="268"/>
      <c r="W8" s="268"/>
      <c r="AN8" s="266" t="s">
        <v>72</v>
      </c>
    </row>
    <row r="9" spans="1:40" ht="32.25" customHeight="1" x14ac:dyDescent="0.5">
      <c r="A9" s="12">
        <v>30</v>
      </c>
      <c r="B9" s="265" t="s">
        <v>579</v>
      </c>
      <c r="C9" s="12"/>
      <c r="D9" s="13">
        <v>19278</v>
      </c>
      <c r="E9" s="13">
        <f>40646.3/2</f>
        <v>20323.150000000001</v>
      </c>
      <c r="F9" s="277">
        <f t="shared" ref="F9:F10" si="0">IFERROR(E9/D9*100-100,)</f>
        <v>5.4214648822491966</v>
      </c>
      <c r="G9" s="13"/>
      <c r="H9" s="278">
        <f t="shared" ref="H9:H10" si="1">IFERROR(G9/E9*100,)</f>
        <v>0</v>
      </c>
      <c r="M9" s="274"/>
      <c r="N9" s="267"/>
      <c r="O9" s="268"/>
      <c r="P9" s="268"/>
      <c r="Q9" s="268"/>
      <c r="R9" s="268"/>
      <c r="S9" s="268"/>
      <c r="T9" s="268"/>
      <c r="U9" s="268"/>
      <c r="V9" s="268"/>
      <c r="W9" s="268"/>
      <c r="AN9" s="266" t="s">
        <v>575</v>
      </c>
    </row>
    <row r="10" spans="1:40" s="284" customFormat="1" x14ac:dyDescent="0.3">
      <c r="A10" s="552" t="s">
        <v>0</v>
      </c>
      <c r="B10" s="552"/>
      <c r="C10" s="552"/>
      <c r="D10" s="280">
        <f>SUM(D9:D9)</f>
        <v>19278</v>
      </c>
      <c r="E10" s="280">
        <f>SUM(E9:E9)</f>
        <v>20323.150000000001</v>
      </c>
      <c r="F10" s="281">
        <f t="shared" si="0"/>
        <v>5.4214648822491966</v>
      </c>
      <c r="G10" s="280">
        <f>SUM(G9:G9)</f>
        <v>0</v>
      </c>
      <c r="H10" s="282">
        <f t="shared" si="1"/>
        <v>0</v>
      </c>
      <c r="I10" s="283"/>
    </row>
    <row r="11" spans="1:40" x14ac:dyDescent="0.5">
      <c r="A11" s="553"/>
      <c r="B11" s="553"/>
      <c r="C11" s="553"/>
      <c r="D11" s="553"/>
      <c r="E11" s="553"/>
      <c r="F11" s="553"/>
      <c r="G11" s="553"/>
      <c r="H11" s="553"/>
    </row>
    <row r="12" spans="1:40" x14ac:dyDescent="0.5">
      <c r="A12" s="554" t="s">
        <v>227</v>
      </c>
      <c r="B12" s="555"/>
      <c r="C12" s="555"/>
      <c r="D12" s="555"/>
      <c r="E12" s="555"/>
      <c r="F12" s="555"/>
      <c r="G12" s="555"/>
      <c r="H12" s="556"/>
      <c r="J12" s="285"/>
    </row>
    <row r="13" spans="1:40" x14ac:dyDescent="0.5">
      <c r="A13" s="549"/>
      <c r="B13" s="550"/>
      <c r="C13" s="550"/>
      <c r="D13" s="550"/>
      <c r="E13" s="550"/>
      <c r="F13" s="550"/>
      <c r="G13" s="550"/>
      <c r="H13" s="551"/>
    </row>
    <row r="14" spans="1:40" x14ac:dyDescent="0.5">
      <c r="A14" s="286"/>
      <c r="B14" s="286"/>
      <c r="C14" s="286"/>
      <c r="D14" s="286"/>
      <c r="E14" s="286"/>
      <c r="F14" s="286"/>
      <c r="G14" s="286"/>
      <c r="H14" s="286"/>
    </row>
    <row r="15" spans="1:40" x14ac:dyDescent="0.5">
      <c r="A15" s="554" t="s">
        <v>577</v>
      </c>
      <c r="B15" s="555"/>
      <c r="C15" s="555"/>
      <c r="D15" s="555"/>
      <c r="E15" s="555"/>
      <c r="F15" s="555"/>
      <c r="G15" s="555"/>
      <c r="H15" s="556"/>
      <c r="I15" s="287"/>
      <c r="J15" s="288"/>
      <c r="K15" s="288"/>
      <c r="L15" s="272"/>
    </row>
    <row r="16" spans="1:40" ht="129" customHeight="1" x14ac:dyDescent="0.5">
      <c r="A16" s="548" t="s">
        <v>578</v>
      </c>
      <c r="B16" s="548"/>
      <c r="C16" s="548"/>
      <c r="D16" s="548"/>
      <c r="E16" s="548"/>
      <c r="F16" s="548"/>
      <c r="G16" s="548"/>
      <c r="H16" s="548"/>
    </row>
    <row r="17" spans="1:8" ht="181.5" customHeight="1" x14ac:dyDescent="0.5">
      <c r="A17" s="548"/>
      <c r="B17" s="548"/>
      <c r="C17" s="548"/>
      <c r="D17" s="548"/>
      <c r="E17" s="548"/>
      <c r="F17" s="548"/>
      <c r="G17" s="548"/>
      <c r="H17" s="548"/>
    </row>
    <row r="18" spans="1:8" x14ac:dyDescent="0.5"/>
    <row r="19" spans="1:8" x14ac:dyDescent="0.5"/>
    <row r="20" spans="1:8" x14ac:dyDescent="0.5"/>
    <row r="21" spans="1:8" x14ac:dyDescent="0.5"/>
    <row r="22" spans="1:8" x14ac:dyDescent="0.5"/>
    <row r="23" spans="1:8" x14ac:dyDescent="0.5"/>
    <row r="24" spans="1:8" x14ac:dyDescent="0.5"/>
    <row r="25" spans="1:8" x14ac:dyDescent="0.5"/>
    <row r="26" spans="1:8" x14ac:dyDescent="0.5"/>
    <row r="27" spans="1:8" x14ac:dyDescent="0.5"/>
  </sheetData>
  <sheetProtection formatCells="0" formatRows="0" insertRows="0" deleteRows="0"/>
  <mergeCells count="20">
    <mergeCell ref="A16:H17"/>
    <mergeCell ref="A6:C6"/>
    <mergeCell ref="D6:F6"/>
    <mergeCell ref="G6:H6"/>
    <mergeCell ref="A7:C7"/>
    <mergeCell ref="D7:E7"/>
    <mergeCell ref="F7:F8"/>
    <mergeCell ref="G7:G8"/>
    <mergeCell ref="H7:H8"/>
    <mergeCell ref="A10:C10"/>
    <mergeCell ref="A11:H11"/>
    <mergeCell ref="A12:H12"/>
    <mergeCell ref="A13:H13"/>
    <mergeCell ref="A15:H15"/>
    <mergeCell ref="A1:H1"/>
    <mergeCell ref="A2:H2"/>
    <mergeCell ref="A3:B3"/>
    <mergeCell ref="C3:H3"/>
    <mergeCell ref="A4:B4"/>
    <mergeCell ref="C4:H4"/>
  </mergeCells>
  <dataValidations count="1">
    <dataValidation type="list" allowBlank="1" showInputMessage="1" showErrorMessage="1" sqref="AN8:AN9">
      <formula1>$AN$8:$AN$9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'[5]AÇÕES ESTRATÉGICAS - DESCRIÇÃO '!#REF!</xm:f>
          </x14:formula1>
          <xm:sqref>C9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>
    <tabColor rgb="FFFFFF00"/>
  </sheetPr>
  <dimension ref="A1:AN485"/>
  <sheetViews>
    <sheetView showGridLines="0" topLeftCell="A85" zoomScale="80" zoomScaleNormal="80" zoomScaleSheetLayoutView="80" workbookViewId="0">
      <selection activeCell="E102" sqref="E102"/>
    </sheetView>
  </sheetViews>
  <sheetFormatPr defaultColWidth="0" defaultRowHeight="25.8" zeroHeight="1" x14ac:dyDescent="0.5"/>
  <cols>
    <col min="1" max="1" width="18.44140625" style="265" customWidth="1"/>
    <col min="2" max="2" width="79.6640625" style="265" customWidth="1"/>
    <col min="3" max="3" width="22.109375" style="265" customWidth="1"/>
    <col min="4" max="4" width="18.44140625" style="265" customWidth="1"/>
    <col min="5" max="5" width="23.21875" style="265" customWidth="1"/>
    <col min="6" max="6" width="14.33203125" style="265" customWidth="1"/>
    <col min="7" max="8" width="18.109375" style="289" hidden="1" customWidth="1"/>
    <col min="9" max="9" width="10.33203125" style="265" bestFit="1" customWidth="1"/>
    <col min="10" max="40" width="0" style="266" hidden="1" customWidth="1"/>
    <col min="41" max="16384" width="36.88671875" style="266" hidden="1"/>
  </cols>
  <sheetData>
    <row r="1" spans="1:40" x14ac:dyDescent="0.5">
      <c r="A1" s="531" t="s">
        <v>559</v>
      </c>
      <c r="B1" s="532"/>
      <c r="C1" s="532"/>
      <c r="D1" s="532"/>
      <c r="E1" s="532"/>
      <c r="F1" s="532"/>
      <c r="G1" s="532"/>
      <c r="H1" s="533"/>
    </row>
    <row r="2" spans="1:40" ht="63.75" customHeight="1" x14ac:dyDescent="0.5">
      <c r="A2" s="534" t="s">
        <v>560</v>
      </c>
      <c r="B2" s="534"/>
      <c r="C2" s="534"/>
      <c r="D2" s="534"/>
      <c r="E2" s="534"/>
      <c r="F2" s="534"/>
      <c r="G2" s="534"/>
      <c r="H2" s="535"/>
    </row>
    <row r="3" spans="1:40" x14ac:dyDescent="0.5">
      <c r="A3" s="536" t="s">
        <v>561</v>
      </c>
      <c r="B3" s="537"/>
      <c r="C3" s="557" t="str">
        <f>'Quadro Geral'!C20</f>
        <v>Manutenção das atividades da presidência/plenário/conselho diretor</v>
      </c>
      <c r="D3" s="557"/>
      <c r="E3" s="557"/>
      <c r="F3" s="557"/>
      <c r="G3" s="557"/>
      <c r="H3" s="558"/>
      <c r="N3" s="267"/>
      <c r="O3" s="268"/>
      <c r="P3" s="268"/>
      <c r="Q3" s="268"/>
      <c r="R3" s="268"/>
      <c r="S3" s="268"/>
      <c r="T3" s="268"/>
      <c r="U3" s="268"/>
      <c r="V3" s="268"/>
      <c r="W3" s="268"/>
    </row>
    <row r="4" spans="1:40" ht="30.75" customHeight="1" x14ac:dyDescent="0.5">
      <c r="A4" s="537" t="s">
        <v>34</v>
      </c>
      <c r="B4" s="537"/>
      <c r="C4" s="557" t="str">
        <f>'Quadro Geral'!E20</f>
        <v>Construir cultura organizacional adequada à estratégia</v>
      </c>
      <c r="D4" s="557"/>
      <c r="E4" s="557"/>
      <c r="F4" s="557"/>
      <c r="G4" s="557"/>
      <c r="H4" s="558"/>
      <c r="V4" s="268"/>
      <c r="W4" s="268"/>
    </row>
    <row r="5" spans="1:40" s="272" customFormat="1" ht="49.5" customHeight="1" x14ac:dyDescent="0.5">
      <c r="A5" s="269"/>
      <c r="B5" s="269"/>
      <c r="C5" s="269"/>
      <c r="D5" s="270"/>
      <c r="E5" s="270"/>
      <c r="F5" s="270"/>
      <c r="G5" s="270" t="s">
        <v>155</v>
      </c>
      <c r="H5" s="270"/>
      <c r="I5" s="271"/>
      <c r="N5" s="273"/>
      <c r="O5" s="274"/>
      <c r="P5" s="274"/>
      <c r="Q5" s="274"/>
      <c r="R5" s="274"/>
      <c r="S5" s="274"/>
      <c r="T5" s="274"/>
      <c r="U5" s="274"/>
      <c r="V5" s="274"/>
      <c r="W5" s="274"/>
    </row>
    <row r="6" spans="1:40" x14ac:dyDescent="0.5">
      <c r="A6" s="540" t="s">
        <v>562</v>
      </c>
      <c r="B6" s="541"/>
      <c r="C6" s="541"/>
      <c r="D6" s="540" t="s">
        <v>563</v>
      </c>
      <c r="E6" s="541"/>
      <c r="F6" s="542"/>
      <c r="G6" s="543" t="s">
        <v>564</v>
      </c>
      <c r="H6" s="544"/>
      <c r="M6" s="274"/>
      <c r="N6" s="274"/>
      <c r="O6" s="274"/>
      <c r="P6" s="274"/>
      <c r="Q6" s="274"/>
      <c r="R6" s="274"/>
      <c r="S6" s="274"/>
      <c r="T6" s="274"/>
      <c r="U6" s="268"/>
      <c r="V6" s="268"/>
      <c r="W6" s="268"/>
    </row>
    <row r="7" spans="1:40" x14ac:dyDescent="0.5">
      <c r="A7" s="540" t="s">
        <v>565</v>
      </c>
      <c r="B7" s="541"/>
      <c r="C7" s="542"/>
      <c r="D7" s="540" t="s">
        <v>566</v>
      </c>
      <c r="E7" s="542"/>
      <c r="F7" s="545" t="s">
        <v>567</v>
      </c>
      <c r="G7" s="546" t="s">
        <v>568</v>
      </c>
      <c r="H7" s="546" t="s">
        <v>569</v>
      </c>
      <c r="M7" s="274"/>
      <c r="N7" s="274"/>
      <c r="O7" s="274"/>
      <c r="P7" s="274"/>
      <c r="Q7" s="274"/>
      <c r="R7" s="274"/>
      <c r="S7" s="274"/>
      <c r="T7" s="274"/>
      <c r="U7" s="268"/>
      <c r="V7" s="268"/>
      <c r="W7" s="268"/>
    </row>
    <row r="8" spans="1:40" ht="63" customHeight="1" x14ac:dyDescent="0.5">
      <c r="A8" s="275" t="s">
        <v>570</v>
      </c>
      <c r="B8" s="275" t="s">
        <v>571</v>
      </c>
      <c r="C8" s="276" t="s">
        <v>572</v>
      </c>
      <c r="D8" s="275" t="s">
        <v>573</v>
      </c>
      <c r="E8" s="275" t="s">
        <v>574</v>
      </c>
      <c r="F8" s="545"/>
      <c r="G8" s="547"/>
      <c r="H8" s="547"/>
      <c r="M8" s="274"/>
      <c r="N8" s="274"/>
      <c r="O8" s="274"/>
      <c r="P8" s="274"/>
      <c r="Q8" s="274"/>
      <c r="R8" s="274"/>
      <c r="S8" s="274"/>
      <c r="T8" s="274"/>
      <c r="U8" s="268"/>
      <c r="V8" s="268"/>
      <c r="W8" s="268"/>
      <c r="AN8" s="266" t="s">
        <v>72</v>
      </c>
    </row>
    <row r="9" spans="1:40" ht="32.25" customHeight="1" x14ac:dyDescent="0.5">
      <c r="A9" s="12"/>
      <c r="B9" s="12" t="s">
        <v>662</v>
      </c>
      <c r="C9" s="12"/>
      <c r="D9" s="13">
        <v>64322.93</v>
      </c>
      <c r="E9" s="315">
        <v>103128.1</v>
      </c>
      <c r="F9" s="277">
        <f t="shared" ref="F9:F12" si="0">IFERROR(E9/D9*100-100,)</f>
        <v>60.328672838752851</v>
      </c>
      <c r="G9" s="13"/>
      <c r="H9" s="278">
        <f t="shared" ref="H9:H12" si="1">IFERROR(G9/E9*100,)</f>
        <v>0</v>
      </c>
      <c r="M9" s="274"/>
      <c r="N9" s="267"/>
      <c r="O9" s="268"/>
      <c r="P9" s="268"/>
      <c r="Q9" s="268"/>
      <c r="R9" s="268"/>
      <c r="S9" s="268"/>
      <c r="T9" s="268"/>
      <c r="U9" s="268"/>
      <c r="V9" s="268"/>
      <c r="W9" s="268"/>
      <c r="AN9" s="266" t="s">
        <v>575</v>
      </c>
    </row>
    <row r="10" spans="1:40" ht="32.25" customHeight="1" x14ac:dyDescent="0.5">
      <c r="A10" s="12"/>
      <c r="B10" s="12" t="s">
        <v>663</v>
      </c>
      <c r="C10" s="12"/>
      <c r="D10" s="13">
        <v>30618</v>
      </c>
      <c r="E10" s="315">
        <v>43015.6</v>
      </c>
      <c r="F10" s="277">
        <f t="shared" si="0"/>
        <v>40.491214318374801</v>
      </c>
      <c r="G10" s="13"/>
      <c r="H10" s="278">
        <f t="shared" si="1"/>
        <v>0</v>
      </c>
      <c r="N10" s="267"/>
      <c r="O10" s="268"/>
      <c r="P10" s="268"/>
      <c r="Q10" s="268"/>
      <c r="R10" s="268"/>
      <c r="S10" s="268"/>
      <c r="T10" s="268"/>
      <c r="U10" s="268"/>
      <c r="V10" s="268"/>
      <c r="W10" s="268"/>
      <c r="AN10" s="266" t="s">
        <v>576</v>
      </c>
    </row>
    <row r="11" spans="1:40" ht="32.25" customHeight="1" x14ac:dyDescent="0.5">
      <c r="A11" s="12"/>
      <c r="B11" s="12" t="s">
        <v>664</v>
      </c>
      <c r="C11" s="12"/>
      <c r="D11" s="13">
        <v>10968</v>
      </c>
      <c r="E11" s="315">
        <v>13536</v>
      </c>
      <c r="F11" s="277">
        <f t="shared" si="0"/>
        <v>23.413566739606125</v>
      </c>
      <c r="G11" s="13"/>
      <c r="H11" s="278">
        <f t="shared" si="1"/>
        <v>0</v>
      </c>
      <c r="N11" s="267"/>
      <c r="O11" s="268"/>
      <c r="P11" s="268"/>
      <c r="Q11" s="268"/>
      <c r="R11" s="268"/>
      <c r="S11" s="268"/>
      <c r="T11" s="268"/>
      <c r="U11" s="268"/>
      <c r="V11" s="268"/>
      <c r="W11" s="268"/>
    </row>
    <row r="12" spans="1:40" s="284" customFormat="1" x14ac:dyDescent="0.3">
      <c r="A12" s="552" t="s">
        <v>0</v>
      </c>
      <c r="B12" s="552"/>
      <c r="C12" s="552"/>
      <c r="D12" s="280">
        <f>SUM(D9:D11)</f>
        <v>105908.93</v>
      </c>
      <c r="E12" s="280">
        <f>SUM(E9:E11)</f>
        <v>159679.70000000001</v>
      </c>
      <c r="F12" s="281">
        <f t="shared" si="0"/>
        <v>50.770761256864773</v>
      </c>
      <c r="G12" s="280">
        <f>SUM(G9:G11)</f>
        <v>0</v>
      </c>
      <c r="H12" s="282">
        <f t="shared" si="1"/>
        <v>0</v>
      </c>
      <c r="I12" s="283"/>
    </row>
    <row r="13" spans="1:40" x14ac:dyDescent="0.5">
      <c r="A13" s="553"/>
      <c r="B13" s="553"/>
      <c r="C13" s="553"/>
      <c r="D13" s="553"/>
      <c r="E13" s="553"/>
      <c r="F13" s="553"/>
      <c r="G13" s="553"/>
      <c r="H13" s="553"/>
    </row>
    <row r="14" spans="1:40" x14ac:dyDescent="0.5">
      <c r="A14" s="554" t="s">
        <v>227</v>
      </c>
      <c r="B14" s="555"/>
      <c r="C14" s="555"/>
      <c r="D14" s="555"/>
      <c r="E14" s="555"/>
      <c r="F14" s="555"/>
      <c r="G14" s="555"/>
      <c r="H14" s="556"/>
      <c r="J14" s="285"/>
    </row>
    <row r="15" spans="1:40" x14ac:dyDescent="0.5">
      <c r="A15" s="549"/>
      <c r="B15" s="550"/>
      <c r="C15" s="550"/>
      <c r="D15" s="550"/>
      <c r="E15" s="550"/>
      <c r="F15" s="550"/>
      <c r="G15" s="550"/>
      <c r="H15" s="551"/>
    </row>
    <row r="16" spans="1:40" x14ac:dyDescent="0.5">
      <c r="A16" s="286"/>
      <c r="B16" s="286"/>
      <c r="C16" s="286"/>
      <c r="D16" s="286"/>
      <c r="E16" s="286"/>
      <c r="F16" s="286"/>
      <c r="G16" s="286"/>
      <c r="H16" s="286"/>
    </row>
    <row r="17" spans="1:8" x14ac:dyDescent="0.5">
      <c r="A17" s="536" t="s">
        <v>561</v>
      </c>
      <c r="B17" s="537"/>
      <c r="C17" s="557" t="str">
        <f>'Quadro Geral'!C21</f>
        <v xml:space="preserve">Edital de apoio institucional de interesse do conselho </v>
      </c>
      <c r="D17" s="557"/>
      <c r="E17" s="557"/>
      <c r="F17" s="557"/>
      <c r="G17" s="557"/>
      <c r="H17" s="558"/>
    </row>
    <row r="18" spans="1:8" x14ac:dyDescent="0.5">
      <c r="A18" s="537" t="s">
        <v>34</v>
      </c>
      <c r="B18" s="537"/>
      <c r="C18" s="557" t="str">
        <f>'Quadro Geral'!E21</f>
        <v>Estimular o conhecimento, o uso de processos criativos e a difusão das melhores práticas em Arquitetura e Urbanismo</v>
      </c>
      <c r="D18" s="557"/>
      <c r="E18" s="557"/>
      <c r="F18" s="557"/>
      <c r="G18" s="557"/>
      <c r="H18" s="558"/>
    </row>
    <row r="19" spans="1:8" x14ac:dyDescent="0.5">
      <c r="A19" s="303"/>
      <c r="B19" s="303"/>
      <c r="C19" s="303"/>
      <c r="D19" s="270"/>
      <c r="E19" s="270"/>
      <c r="F19" s="270"/>
      <c r="G19" s="270" t="s">
        <v>155</v>
      </c>
      <c r="H19" s="270"/>
    </row>
    <row r="20" spans="1:8" x14ac:dyDescent="0.5">
      <c r="A20" s="540" t="s">
        <v>562</v>
      </c>
      <c r="B20" s="541"/>
      <c r="C20" s="541"/>
      <c r="D20" s="540" t="s">
        <v>563</v>
      </c>
      <c r="E20" s="541"/>
      <c r="F20" s="542"/>
      <c r="G20" s="543" t="s">
        <v>564</v>
      </c>
      <c r="H20" s="544"/>
    </row>
    <row r="21" spans="1:8" x14ac:dyDescent="0.5">
      <c r="A21" s="540" t="s">
        <v>565</v>
      </c>
      <c r="B21" s="541"/>
      <c r="C21" s="542"/>
      <c r="D21" s="540" t="s">
        <v>566</v>
      </c>
      <c r="E21" s="542"/>
      <c r="F21" s="545" t="s">
        <v>567</v>
      </c>
      <c r="G21" s="546" t="s">
        <v>568</v>
      </c>
      <c r="H21" s="546" t="s">
        <v>569</v>
      </c>
    </row>
    <row r="22" spans="1:8" ht="46.8" x14ac:dyDescent="0.5">
      <c r="A22" s="301" t="s">
        <v>570</v>
      </c>
      <c r="B22" s="301" t="s">
        <v>571</v>
      </c>
      <c r="C22" s="276" t="s">
        <v>572</v>
      </c>
      <c r="D22" s="301" t="s">
        <v>573</v>
      </c>
      <c r="E22" s="301" t="s">
        <v>574</v>
      </c>
      <c r="F22" s="545"/>
      <c r="G22" s="547"/>
      <c r="H22" s="547"/>
    </row>
    <row r="23" spans="1:8" x14ac:dyDescent="0.5">
      <c r="A23" s="12"/>
      <c r="B23" s="265" t="s">
        <v>665</v>
      </c>
      <c r="C23" s="12"/>
      <c r="D23" s="13">
        <v>64809</v>
      </c>
      <c r="E23" s="13">
        <v>64809</v>
      </c>
      <c r="F23" s="277">
        <f t="shared" ref="F23:F24" si="2">IFERROR(E23/D23*100-100,)</f>
        <v>0</v>
      </c>
      <c r="G23" s="13"/>
      <c r="H23" s="278">
        <f t="shared" ref="H23:H24" si="3">IFERROR(G23/E23*100,)</f>
        <v>0</v>
      </c>
    </row>
    <row r="24" spans="1:8" x14ac:dyDescent="0.5">
      <c r="A24" s="552" t="s">
        <v>0</v>
      </c>
      <c r="B24" s="552"/>
      <c r="C24" s="552"/>
      <c r="D24" s="280">
        <f>SUM(D23:D23)</f>
        <v>64809</v>
      </c>
      <c r="E24" s="280">
        <f>SUM(E23:E23)</f>
        <v>64809</v>
      </c>
      <c r="F24" s="281">
        <f t="shared" si="2"/>
        <v>0</v>
      </c>
      <c r="G24" s="280">
        <f>SUM(G23:G23)</f>
        <v>0</v>
      </c>
      <c r="H24" s="282">
        <f t="shared" si="3"/>
        <v>0</v>
      </c>
    </row>
    <row r="25" spans="1:8" x14ac:dyDescent="0.5">
      <c r="A25" s="553"/>
      <c r="B25" s="553"/>
      <c r="C25" s="553"/>
      <c r="D25" s="553"/>
      <c r="E25" s="553"/>
      <c r="F25" s="553"/>
      <c r="G25" s="553"/>
      <c r="H25" s="553"/>
    </row>
    <row r="26" spans="1:8" x14ac:dyDescent="0.5">
      <c r="A26" s="554" t="s">
        <v>227</v>
      </c>
      <c r="B26" s="555"/>
      <c r="C26" s="555"/>
      <c r="D26" s="555"/>
      <c r="E26" s="555"/>
      <c r="F26" s="555"/>
      <c r="G26" s="555"/>
      <c r="H26" s="556"/>
    </row>
    <row r="27" spans="1:8" x14ac:dyDescent="0.5">
      <c r="A27" s="549"/>
      <c r="B27" s="550"/>
      <c r="C27" s="550"/>
      <c r="D27" s="550"/>
      <c r="E27" s="550"/>
      <c r="F27" s="550"/>
      <c r="G27" s="550"/>
      <c r="H27" s="551"/>
    </row>
    <row r="28" spans="1:8" x14ac:dyDescent="0.5">
      <c r="A28" s="286"/>
      <c r="B28" s="286"/>
      <c r="C28" s="286"/>
      <c r="D28" s="286"/>
      <c r="E28" s="286"/>
      <c r="F28" s="286"/>
      <c r="G28" s="286"/>
      <c r="H28" s="286"/>
    </row>
    <row r="29" spans="1:8" x14ac:dyDescent="0.5">
      <c r="A29" s="286"/>
      <c r="B29" s="286"/>
      <c r="C29" s="286"/>
      <c r="D29" s="286"/>
      <c r="E29" s="286"/>
      <c r="F29" s="286"/>
      <c r="G29" s="286"/>
      <c r="H29" s="286"/>
    </row>
    <row r="30" spans="1:8" x14ac:dyDescent="0.5">
      <c r="A30" s="536" t="s">
        <v>561</v>
      </c>
      <c r="B30" s="537"/>
      <c r="C30" s="557" t="str">
        <f>'Quadro Geral'!C22</f>
        <v xml:space="preserve">Edital de patrocínios para projetos de entidades de arquitetos e urbanistas </v>
      </c>
      <c r="D30" s="557"/>
      <c r="E30" s="557"/>
      <c r="F30" s="557"/>
      <c r="G30" s="557"/>
      <c r="H30" s="558"/>
    </row>
    <row r="31" spans="1:8" x14ac:dyDescent="0.5">
      <c r="A31" s="537" t="s">
        <v>34</v>
      </c>
      <c r="B31" s="537"/>
      <c r="C31" s="557" t="str">
        <f>'Quadro Geral'!E22</f>
        <v>Estimular o conhecimento, o uso de processos criativos e a difusão das melhores práticas em Arquitetura e Urbanismo</v>
      </c>
      <c r="D31" s="557"/>
      <c r="E31" s="557"/>
      <c r="F31" s="557"/>
      <c r="G31" s="557"/>
      <c r="H31" s="558"/>
    </row>
    <row r="32" spans="1:8" x14ac:dyDescent="0.5">
      <c r="A32" s="303"/>
      <c r="B32" s="303"/>
      <c r="C32" s="303"/>
      <c r="D32" s="270"/>
      <c r="E32" s="270"/>
      <c r="F32" s="270"/>
      <c r="G32" s="270" t="s">
        <v>155</v>
      </c>
      <c r="H32" s="270"/>
    </row>
    <row r="33" spans="1:8" x14ac:dyDescent="0.5">
      <c r="A33" s="540" t="s">
        <v>562</v>
      </c>
      <c r="B33" s="541"/>
      <c r="C33" s="541"/>
      <c r="D33" s="540" t="s">
        <v>563</v>
      </c>
      <c r="E33" s="541"/>
      <c r="F33" s="542"/>
      <c r="G33" s="543" t="s">
        <v>564</v>
      </c>
      <c r="H33" s="544"/>
    </row>
    <row r="34" spans="1:8" x14ac:dyDescent="0.5">
      <c r="A34" s="540" t="s">
        <v>565</v>
      </c>
      <c r="B34" s="541"/>
      <c r="C34" s="542"/>
      <c r="D34" s="540" t="s">
        <v>566</v>
      </c>
      <c r="E34" s="542"/>
      <c r="F34" s="545" t="s">
        <v>567</v>
      </c>
      <c r="G34" s="546" t="s">
        <v>568</v>
      </c>
      <c r="H34" s="546" t="s">
        <v>569</v>
      </c>
    </row>
    <row r="35" spans="1:8" ht="46.8" x14ac:dyDescent="0.5">
      <c r="A35" s="301" t="s">
        <v>570</v>
      </c>
      <c r="B35" s="301" t="s">
        <v>571</v>
      </c>
      <c r="C35" s="276" t="s">
        <v>572</v>
      </c>
      <c r="D35" s="301" t="s">
        <v>573</v>
      </c>
      <c r="E35" s="301" t="s">
        <v>574</v>
      </c>
      <c r="F35" s="545"/>
      <c r="G35" s="547"/>
      <c r="H35" s="547"/>
    </row>
    <row r="36" spans="1:8" x14ac:dyDescent="0.5">
      <c r="A36" s="12"/>
      <c r="B36" s="265" t="s">
        <v>666</v>
      </c>
      <c r="C36" s="12"/>
      <c r="D36" s="13">
        <v>129618</v>
      </c>
      <c r="E36" s="13">
        <v>129618</v>
      </c>
      <c r="F36" s="277">
        <f t="shared" ref="F36:F37" si="4">IFERROR(E36/D36*100-100,)</f>
        <v>0</v>
      </c>
      <c r="G36" s="13"/>
      <c r="H36" s="278">
        <f t="shared" ref="H36:H37" si="5">IFERROR(G36/E36*100,)</f>
        <v>0</v>
      </c>
    </row>
    <row r="37" spans="1:8" x14ac:dyDescent="0.5">
      <c r="A37" s="552" t="s">
        <v>0</v>
      </c>
      <c r="B37" s="552"/>
      <c r="C37" s="552"/>
      <c r="D37" s="280">
        <f>SUM(D36:D36)</f>
        <v>129618</v>
      </c>
      <c r="E37" s="280">
        <f>SUM(E36:E36)</f>
        <v>129618</v>
      </c>
      <c r="F37" s="281">
        <f t="shared" si="4"/>
        <v>0</v>
      </c>
      <c r="G37" s="280">
        <f>SUM(G36:G36)</f>
        <v>0</v>
      </c>
      <c r="H37" s="282">
        <f t="shared" si="5"/>
        <v>0</v>
      </c>
    </row>
    <row r="38" spans="1:8" x14ac:dyDescent="0.5">
      <c r="A38" s="553"/>
      <c r="B38" s="553"/>
      <c r="C38" s="553"/>
      <c r="D38" s="553"/>
      <c r="E38" s="553"/>
      <c r="F38" s="553"/>
      <c r="G38" s="553"/>
      <c r="H38" s="553"/>
    </row>
    <row r="39" spans="1:8" x14ac:dyDescent="0.5">
      <c r="A39" s="554" t="s">
        <v>227</v>
      </c>
      <c r="B39" s="555"/>
      <c r="C39" s="555"/>
      <c r="D39" s="555"/>
      <c r="E39" s="555"/>
      <c r="F39" s="555"/>
      <c r="G39" s="555"/>
      <c r="H39" s="556"/>
    </row>
    <row r="40" spans="1:8" x14ac:dyDescent="0.5">
      <c r="A40" s="549"/>
      <c r="B40" s="550"/>
      <c r="C40" s="550"/>
      <c r="D40" s="550"/>
      <c r="E40" s="550"/>
      <c r="F40" s="550"/>
      <c r="G40" s="550"/>
      <c r="H40" s="551"/>
    </row>
    <row r="41" spans="1:8" x14ac:dyDescent="0.5">
      <c r="A41" s="286"/>
      <c r="B41" s="286"/>
      <c r="C41" s="286"/>
      <c r="D41" s="286"/>
      <c r="E41" s="286"/>
      <c r="F41" s="286"/>
      <c r="G41" s="286"/>
      <c r="H41" s="286"/>
    </row>
    <row r="42" spans="1:8" x14ac:dyDescent="0.5">
      <c r="A42" s="286"/>
      <c r="B42" s="286"/>
      <c r="C42" s="286"/>
      <c r="D42" s="286"/>
      <c r="E42" s="286"/>
      <c r="F42" s="286"/>
      <c r="G42" s="286"/>
      <c r="H42" s="286"/>
    </row>
    <row r="43" spans="1:8" x14ac:dyDescent="0.5">
      <c r="A43" s="536" t="s">
        <v>561</v>
      </c>
      <c r="B43" s="537"/>
      <c r="C43" s="557" t="str">
        <f>'Quadro Geral'!C23</f>
        <v>Edital de patrocínios para publicações</v>
      </c>
      <c r="D43" s="557"/>
      <c r="E43" s="557"/>
      <c r="F43" s="557"/>
      <c r="G43" s="557"/>
      <c r="H43" s="558"/>
    </row>
    <row r="44" spans="1:8" x14ac:dyDescent="0.5">
      <c r="A44" s="537" t="s">
        <v>34</v>
      </c>
      <c r="B44" s="537"/>
      <c r="C44" s="557" t="str">
        <f>'Quadro Geral'!E23</f>
        <v>Estimular o conhecimento, o uso de processos criativos e a difusão das melhores práticas em Arquitetura e Urbanismo</v>
      </c>
      <c r="D44" s="557"/>
      <c r="E44" s="557"/>
      <c r="F44" s="557"/>
      <c r="G44" s="557"/>
      <c r="H44" s="558"/>
    </row>
    <row r="45" spans="1:8" x14ac:dyDescent="0.5">
      <c r="A45" s="303"/>
      <c r="B45" s="303"/>
      <c r="C45" s="303"/>
      <c r="D45" s="270"/>
      <c r="E45" s="270"/>
      <c r="F45" s="270"/>
      <c r="G45" s="270" t="s">
        <v>155</v>
      </c>
      <c r="H45" s="270"/>
    </row>
    <row r="46" spans="1:8" x14ac:dyDescent="0.5">
      <c r="A46" s="540" t="s">
        <v>562</v>
      </c>
      <c r="B46" s="541"/>
      <c r="C46" s="541"/>
      <c r="D46" s="540" t="s">
        <v>563</v>
      </c>
      <c r="E46" s="541"/>
      <c r="F46" s="542"/>
      <c r="G46" s="543" t="s">
        <v>564</v>
      </c>
      <c r="H46" s="544"/>
    </row>
    <row r="47" spans="1:8" x14ac:dyDescent="0.5">
      <c r="A47" s="540" t="s">
        <v>565</v>
      </c>
      <c r="B47" s="541"/>
      <c r="C47" s="542"/>
      <c r="D47" s="540" t="s">
        <v>566</v>
      </c>
      <c r="E47" s="542"/>
      <c r="F47" s="545" t="s">
        <v>567</v>
      </c>
      <c r="G47" s="546" t="s">
        <v>568</v>
      </c>
      <c r="H47" s="546" t="s">
        <v>569</v>
      </c>
    </row>
    <row r="48" spans="1:8" ht="46.8" x14ac:dyDescent="0.5">
      <c r="A48" s="301" t="s">
        <v>570</v>
      </c>
      <c r="B48" s="301" t="s">
        <v>571</v>
      </c>
      <c r="C48" s="276" t="s">
        <v>572</v>
      </c>
      <c r="D48" s="301" t="s">
        <v>573</v>
      </c>
      <c r="E48" s="301" t="s">
        <v>574</v>
      </c>
      <c r="F48" s="545"/>
      <c r="G48" s="547"/>
      <c r="H48" s="547"/>
    </row>
    <row r="49" spans="1:8" x14ac:dyDescent="0.5">
      <c r="A49" s="12"/>
      <c r="B49" s="265" t="s">
        <v>494</v>
      </c>
      <c r="C49" s="12"/>
      <c r="D49" s="13">
        <v>74190</v>
      </c>
      <c r="E49" s="13">
        <v>74190</v>
      </c>
      <c r="F49" s="277">
        <f t="shared" ref="F49:F50" si="6">IFERROR(E49/D49*100-100,)</f>
        <v>0</v>
      </c>
      <c r="G49" s="13"/>
      <c r="H49" s="278">
        <f t="shared" ref="H49:H50" si="7">IFERROR(G49/E49*100,)</f>
        <v>0</v>
      </c>
    </row>
    <row r="50" spans="1:8" x14ac:dyDescent="0.5">
      <c r="A50" s="552" t="s">
        <v>0</v>
      </c>
      <c r="B50" s="552"/>
      <c r="C50" s="552"/>
      <c r="D50" s="280">
        <f>SUM(D49:D49)</f>
        <v>74190</v>
      </c>
      <c r="E50" s="280">
        <f>SUM(E49:E49)</f>
        <v>74190</v>
      </c>
      <c r="F50" s="281">
        <f t="shared" si="6"/>
        <v>0</v>
      </c>
      <c r="G50" s="280">
        <f>SUM(G49:G49)</f>
        <v>0</v>
      </c>
      <c r="H50" s="282">
        <f t="shared" si="7"/>
        <v>0</v>
      </c>
    </row>
    <row r="51" spans="1:8" x14ac:dyDescent="0.5">
      <c r="A51" s="553"/>
      <c r="B51" s="553"/>
      <c r="C51" s="553"/>
      <c r="D51" s="553"/>
      <c r="E51" s="553"/>
      <c r="F51" s="553"/>
      <c r="G51" s="553"/>
      <c r="H51" s="553"/>
    </row>
    <row r="52" spans="1:8" x14ac:dyDescent="0.5">
      <c r="A52" s="554" t="s">
        <v>227</v>
      </c>
      <c r="B52" s="555"/>
      <c r="C52" s="555"/>
      <c r="D52" s="555"/>
      <c r="E52" s="555"/>
      <c r="F52" s="555"/>
      <c r="G52" s="555"/>
      <c r="H52" s="556"/>
    </row>
    <row r="53" spans="1:8" x14ac:dyDescent="0.5">
      <c r="A53" s="549"/>
      <c r="B53" s="550"/>
      <c r="C53" s="550"/>
      <c r="D53" s="550"/>
      <c r="E53" s="550"/>
      <c r="F53" s="550"/>
      <c r="G53" s="550"/>
      <c r="H53" s="551"/>
    </row>
    <row r="54" spans="1:8" x14ac:dyDescent="0.5">
      <c r="A54" s="286"/>
      <c r="B54" s="286"/>
      <c r="C54" s="286"/>
      <c r="D54" s="286"/>
      <c r="E54" s="286"/>
      <c r="F54" s="286"/>
      <c r="G54" s="286"/>
      <c r="H54" s="286"/>
    </row>
    <row r="55" spans="1:8" x14ac:dyDescent="0.5">
      <c r="A55" s="286"/>
      <c r="B55" s="286"/>
      <c r="C55" s="286"/>
      <c r="D55" s="286"/>
      <c r="E55" s="286"/>
      <c r="F55" s="286"/>
      <c r="G55" s="286"/>
      <c r="H55" s="286"/>
    </row>
    <row r="56" spans="1:8" x14ac:dyDescent="0.5">
      <c r="A56" s="536" t="s">
        <v>561</v>
      </c>
      <c r="B56" s="537"/>
      <c r="C56" s="557" t="str">
        <f>'Quadro Geral'!C24</f>
        <v>Valorização profissional</v>
      </c>
      <c r="D56" s="557"/>
      <c r="E56" s="557"/>
      <c r="F56" s="557"/>
      <c r="G56" s="557"/>
      <c r="H56" s="558"/>
    </row>
    <row r="57" spans="1:8" x14ac:dyDescent="0.5">
      <c r="A57" s="537" t="s">
        <v>34</v>
      </c>
      <c r="B57" s="537"/>
      <c r="C57" s="557" t="str">
        <f>'Quadro Geral'!E24</f>
        <v>Estimular o conhecimento, o uso de processos criativos e a difusão das melhores práticas em Arquitetura e Urbanismo</v>
      </c>
      <c r="D57" s="557"/>
      <c r="E57" s="557"/>
      <c r="F57" s="557"/>
      <c r="G57" s="557"/>
      <c r="H57" s="558"/>
    </row>
    <row r="58" spans="1:8" x14ac:dyDescent="0.5">
      <c r="A58" s="303"/>
      <c r="B58" s="303"/>
      <c r="C58" s="303"/>
      <c r="D58" s="270"/>
      <c r="E58" s="270"/>
      <c r="F58" s="270"/>
      <c r="G58" s="270" t="s">
        <v>155</v>
      </c>
      <c r="H58" s="270"/>
    </row>
    <row r="59" spans="1:8" x14ac:dyDescent="0.5">
      <c r="A59" s="540" t="s">
        <v>562</v>
      </c>
      <c r="B59" s="541"/>
      <c r="C59" s="541"/>
      <c r="D59" s="540" t="s">
        <v>563</v>
      </c>
      <c r="E59" s="541"/>
      <c r="F59" s="542"/>
      <c r="G59" s="543" t="s">
        <v>564</v>
      </c>
      <c r="H59" s="544"/>
    </row>
    <row r="60" spans="1:8" x14ac:dyDescent="0.5">
      <c r="A60" s="540" t="s">
        <v>565</v>
      </c>
      <c r="B60" s="541"/>
      <c r="C60" s="542"/>
      <c r="D60" s="540" t="s">
        <v>566</v>
      </c>
      <c r="E60" s="542"/>
      <c r="F60" s="545" t="s">
        <v>567</v>
      </c>
      <c r="G60" s="546" t="s">
        <v>568</v>
      </c>
      <c r="H60" s="546" t="s">
        <v>569</v>
      </c>
    </row>
    <row r="61" spans="1:8" ht="46.8" x14ac:dyDescent="0.5">
      <c r="A61" s="301" t="s">
        <v>570</v>
      </c>
      <c r="B61" s="301" t="s">
        <v>571</v>
      </c>
      <c r="C61" s="276" t="s">
        <v>572</v>
      </c>
      <c r="D61" s="301" t="s">
        <v>573</v>
      </c>
      <c r="E61" s="301" t="s">
        <v>574</v>
      </c>
      <c r="F61" s="545"/>
      <c r="G61" s="547"/>
      <c r="H61" s="547"/>
    </row>
    <row r="62" spans="1:8" x14ac:dyDescent="0.5">
      <c r="A62" s="12"/>
      <c r="B62" s="265" t="s">
        <v>667</v>
      </c>
      <c r="C62" s="12"/>
      <c r="D62" s="13">
        <v>300000</v>
      </c>
      <c r="E62" s="13">
        <v>0</v>
      </c>
      <c r="F62" s="277">
        <f t="shared" ref="F62:F63" si="8">IFERROR(E62/D62*100-100,)</f>
        <v>-100</v>
      </c>
      <c r="G62" s="13"/>
      <c r="H62" s="278">
        <f t="shared" ref="H62:H63" si="9">IFERROR(G62/E62*100,)</f>
        <v>0</v>
      </c>
    </row>
    <row r="63" spans="1:8" x14ac:dyDescent="0.5">
      <c r="A63" s="552" t="s">
        <v>0</v>
      </c>
      <c r="B63" s="552"/>
      <c r="C63" s="552"/>
      <c r="D63" s="280">
        <f>SUM(D62:D62)</f>
        <v>300000</v>
      </c>
      <c r="E63" s="280">
        <f>SUM(E62:E62)</f>
        <v>0</v>
      </c>
      <c r="F63" s="281">
        <f t="shared" si="8"/>
        <v>-100</v>
      </c>
      <c r="G63" s="280">
        <f>SUM(G62:G62)</f>
        <v>0</v>
      </c>
      <c r="H63" s="282">
        <f t="shared" si="9"/>
        <v>0</v>
      </c>
    </row>
    <row r="64" spans="1:8" x14ac:dyDescent="0.5">
      <c r="A64" s="553"/>
      <c r="B64" s="553"/>
      <c r="C64" s="553"/>
      <c r="D64" s="553"/>
      <c r="E64" s="553"/>
      <c r="F64" s="553"/>
      <c r="G64" s="553"/>
      <c r="H64" s="553"/>
    </row>
    <row r="65" spans="1:8" x14ac:dyDescent="0.5">
      <c r="A65" s="554" t="s">
        <v>227</v>
      </c>
      <c r="B65" s="555"/>
      <c r="C65" s="555"/>
      <c r="D65" s="555"/>
      <c r="E65" s="555"/>
      <c r="F65" s="555"/>
      <c r="G65" s="555"/>
      <c r="H65" s="556"/>
    </row>
    <row r="66" spans="1:8" x14ac:dyDescent="0.5">
      <c r="A66" s="549"/>
      <c r="B66" s="550"/>
      <c r="C66" s="550"/>
      <c r="D66" s="550"/>
      <c r="E66" s="550"/>
      <c r="F66" s="550"/>
      <c r="G66" s="550"/>
      <c r="H66" s="551"/>
    </row>
    <row r="67" spans="1:8" x14ac:dyDescent="0.5">
      <c r="A67" s="286"/>
      <c r="B67" s="286"/>
      <c r="C67" s="286"/>
      <c r="D67" s="286"/>
      <c r="E67" s="286"/>
      <c r="F67" s="286"/>
      <c r="G67" s="286"/>
      <c r="H67" s="286"/>
    </row>
    <row r="68" spans="1:8" x14ac:dyDescent="0.5">
      <c r="A68" s="286"/>
      <c r="B68" s="286"/>
      <c r="C68" s="286"/>
      <c r="D68" s="286"/>
      <c r="E68" s="286"/>
      <c r="F68" s="286"/>
      <c r="G68" s="286"/>
      <c r="H68" s="286"/>
    </row>
    <row r="69" spans="1:8" x14ac:dyDescent="0.5">
      <c r="A69" s="536" t="s">
        <v>561</v>
      </c>
      <c r="B69" s="537"/>
      <c r="C69" s="557" t="str">
        <f>'Quadro Geral'!C25</f>
        <v>Capacitação em ATHIS</v>
      </c>
      <c r="D69" s="557"/>
      <c r="E69" s="557"/>
      <c r="F69" s="557"/>
      <c r="G69" s="557"/>
      <c r="H69" s="558"/>
    </row>
    <row r="70" spans="1:8" x14ac:dyDescent="0.5">
      <c r="A70" s="537" t="s">
        <v>34</v>
      </c>
      <c r="B70" s="537"/>
      <c r="C70" s="557" t="str">
        <f>'Quadro Geral'!E25</f>
        <v>Fomentar o acesso da sociedade à Arquitetura e Urbanismo</v>
      </c>
      <c r="D70" s="557"/>
      <c r="E70" s="557"/>
      <c r="F70" s="557"/>
      <c r="G70" s="557"/>
      <c r="H70" s="558"/>
    </row>
    <row r="71" spans="1:8" x14ac:dyDescent="0.5">
      <c r="A71" s="303"/>
      <c r="B71" s="303"/>
      <c r="C71" s="303"/>
      <c r="D71" s="270"/>
      <c r="E71" s="270"/>
      <c r="F71" s="270"/>
      <c r="G71" s="270" t="s">
        <v>155</v>
      </c>
      <c r="H71" s="270"/>
    </row>
    <row r="72" spans="1:8" x14ac:dyDescent="0.5">
      <c r="A72" s="540" t="s">
        <v>562</v>
      </c>
      <c r="B72" s="541"/>
      <c r="C72" s="541"/>
      <c r="D72" s="540" t="s">
        <v>563</v>
      </c>
      <c r="E72" s="541"/>
      <c r="F72" s="542"/>
      <c r="G72" s="543" t="s">
        <v>564</v>
      </c>
      <c r="H72" s="544"/>
    </row>
    <row r="73" spans="1:8" x14ac:dyDescent="0.5">
      <c r="A73" s="540" t="s">
        <v>565</v>
      </c>
      <c r="B73" s="541"/>
      <c r="C73" s="542"/>
      <c r="D73" s="540" t="s">
        <v>566</v>
      </c>
      <c r="E73" s="542"/>
      <c r="F73" s="545" t="s">
        <v>567</v>
      </c>
      <c r="G73" s="546" t="s">
        <v>568</v>
      </c>
      <c r="H73" s="546" t="s">
        <v>569</v>
      </c>
    </row>
    <row r="74" spans="1:8" ht="46.8" x14ac:dyDescent="0.5">
      <c r="A74" s="301" t="s">
        <v>570</v>
      </c>
      <c r="B74" s="301" t="s">
        <v>571</v>
      </c>
      <c r="C74" s="276" t="s">
        <v>572</v>
      </c>
      <c r="D74" s="301" t="s">
        <v>573</v>
      </c>
      <c r="E74" s="301" t="s">
        <v>574</v>
      </c>
      <c r="F74" s="545"/>
      <c r="G74" s="547"/>
      <c r="H74" s="547"/>
    </row>
    <row r="75" spans="1:8" x14ac:dyDescent="0.5">
      <c r="A75" s="12"/>
      <c r="B75" s="265" t="s">
        <v>668</v>
      </c>
      <c r="C75" s="12"/>
      <c r="D75" s="13">
        <v>300000</v>
      </c>
      <c r="E75" s="13"/>
      <c r="F75" s="277">
        <f t="shared" ref="F75:F76" si="10">IFERROR(E75/D75*100-100,)</f>
        <v>-100</v>
      </c>
      <c r="G75" s="13"/>
      <c r="H75" s="278">
        <f t="shared" ref="H75:H76" si="11">IFERROR(G75/E75*100,)</f>
        <v>0</v>
      </c>
    </row>
    <row r="76" spans="1:8" x14ac:dyDescent="0.5">
      <c r="A76" s="552" t="s">
        <v>0</v>
      </c>
      <c r="B76" s="552"/>
      <c r="C76" s="552"/>
      <c r="D76" s="280">
        <f>SUM(D75:D75)</f>
        <v>300000</v>
      </c>
      <c r="E76" s="280">
        <f>SUM(E75:E75)</f>
        <v>0</v>
      </c>
      <c r="F76" s="281">
        <f t="shared" si="10"/>
        <v>-100</v>
      </c>
      <c r="G76" s="280">
        <f>SUM(G75:G75)</f>
        <v>0</v>
      </c>
      <c r="H76" s="282">
        <f t="shared" si="11"/>
        <v>0</v>
      </c>
    </row>
    <row r="77" spans="1:8" x14ac:dyDescent="0.5">
      <c r="A77" s="553"/>
      <c r="B77" s="553"/>
      <c r="C77" s="553"/>
      <c r="D77" s="553"/>
      <c r="E77" s="553"/>
      <c r="F77" s="553"/>
      <c r="G77" s="553"/>
      <c r="H77" s="553"/>
    </row>
    <row r="78" spans="1:8" x14ac:dyDescent="0.5">
      <c r="A78" s="554" t="s">
        <v>227</v>
      </c>
      <c r="B78" s="555"/>
      <c r="C78" s="555"/>
      <c r="D78" s="555"/>
      <c r="E78" s="555"/>
      <c r="F78" s="555"/>
      <c r="G78" s="555"/>
      <c r="H78" s="556"/>
    </row>
    <row r="79" spans="1:8" x14ac:dyDescent="0.5">
      <c r="A79" s="549"/>
      <c r="B79" s="550"/>
      <c r="C79" s="550"/>
      <c r="D79" s="550"/>
      <c r="E79" s="550"/>
      <c r="F79" s="550"/>
      <c r="G79" s="550"/>
      <c r="H79" s="551"/>
    </row>
    <row r="80" spans="1:8" x14ac:dyDescent="0.5">
      <c r="A80" s="286"/>
      <c r="B80" s="286"/>
      <c r="C80" s="286"/>
      <c r="D80" s="286"/>
      <c r="E80" s="286"/>
      <c r="F80" s="286"/>
      <c r="G80" s="286"/>
      <c r="H80" s="286"/>
    </row>
    <row r="81" spans="1:8" x14ac:dyDescent="0.5">
      <c r="A81" s="286"/>
      <c r="B81" s="286"/>
      <c r="C81" s="286"/>
      <c r="D81" s="286"/>
      <c r="E81" s="286"/>
      <c r="F81" s="286"/>
      <c r="G81" s="286"/>
      <c r="H81" s="286"/>
    </row>
    <row r="82" spans="1:8" x14ac:dyDescent="0.5">
      <c r="A82" s="536" t="s">
        <v>561</v>
      </c>
      <c r="B82" s="537"/>
      <c r="C82" s="557" t="str">
        <f>'Quadro Geral'!C26</f>
        <v>Pesquisa junto às universidades</v>
      </c>
      <c r="D82" s="557"/>
      <c r="E82" s="557"/>
      <c r="F82" s="557"/>
      <c r="G82" s="557"/>
      <c r="H82" s="558"/>
    </row>
    <row r="83" spans="1:8" x14ac:dyDescent="0.5">
      <c r="A83" s="537" t="s">
        <v>34</v>
      </c>
      <c r="B83" s="537"/>
      <c r="C83" s="557" t="str">
        <f>'Quadro Geral'!E26</f>
        <v>Estimular o conhecimento, o uso de processos criativos e a difusão das melhores práticas em Arquitetura e Urbanismo</v>
      </c>
      <c r="D83" s="557"/>
      <c r="E83" s="557"/>
      <c r="F83" s="557"/>
      <c r="G83" s="557"/>
      <c r="H83" s="558"/>
    </row>
    <row r="84" spans="1:8" x14ac:dyDescent="0.5">
      <c r="A84" s="303"/>
      <c r="B84" s="303"/>
      <c r="C84" s="303"/>
      <c r="D84" s="270"/>
      <c r="E84" s="270"/>
      <c r="F84" s="270"/>
      <c r="G84" s="270" t="s">
        <v>155</v>
      </c>
      <c r="H84" s="270"/>
    </row>
    <row r="85" spans="1:8" x14ac:dyDescent="0.5">
      <c r="A85" s="540" t="s">
        <v>562</v>
      </c>
      <c r="B85" s="541"/>
      <c r="C85" s="541"/>
      <c r="D85" s="540" t="s">
        <v>563</v>
      </c>
      <c r="E85" s="541"/>
      <c r="F85" s="542"/>
      <c r="G85" s="543" t="s">
        <v>564</v>
      </c>
      <c r="H85" s="544"/>
    </row>
    <row r="86" spans="1:8" x14ac:dyDescent="0.5">
      <c r="A86" s="540" t="s">
        <v>565</v>
      </c>
      <c r="B86" s="541"/>
      <c r="C86" s="542"/>
      <c r="D86" s="540" t="s">
        <v>566</v>
      </c>
      <c r="E86" s="542"/>
      <c r="F86" s="545" t="s">
        <v>567</v>
      </c>
      <c r="G86" s="546" t="s">
        <v>568</v>
      </c>
      <c r="H86" s="546" t="s">
        <v>569</v>
      </c>
    </row>
    <row r="87" spans="1:8" ht="46.8" x14ac:dyDescent="0.5">
      <c r="A87" s="301" t="s">
        <v>570</v>
      </c>
      <c r="B87" s="301" t="s">
        <v>571</v>
      </c>
      <c r="C87" s="276" t="s">
        <v>572</v>
      </c>
      <c r="D87" s="301" t="s">
        <v>573</v>
      </c>
      <c r="E87" s="301" t="s">
        <v>574</v>
      </c>
      <c r="F87" s="545"/>
      <c r="G87" s="547"/>
      <c r="H87" s="547"/>
    </row>
    <row r="88" spans="1:8" x14ac:dyDescent="0.5">
      <c r="A88" s="12"/>
      <c r="B88" s="265" t="s">
        <v>669</v>
      </c>
      <c r="C88" s="12"/>
      <c r="D88" s="13">
        <v>400000</v>
      </c>
      <c r="E88" s="13">
        <v>400000</v>
      </c>
      <c r="F88" s="277">
        <f t="shared" ref="F88:F89" si="12">IFERROR(E88/D88*100-100,)</f>
        <v>0</v>
      </c>
      <c r="G88" s="13"/>
      <c r="H88" s="278">
        <f t="shared" ref="H88:H89" si="13">IFERROR(G88/E88*100,)</f>
        <v>0</v>
      </c>
    </row>
    <row r="89" spans="1:8" x14ac:dyDescent="0.5">
      <c r="A89" s="552" t="s">
        <v>0</v>
      </c>
      <c r="B89" s="552"/>
      <c r="C89" s="552"/>
      <c r="D89" s="280">
        <f>SUM(D88:D88)</f>
        <v>400000</v>
      </c>
      <c r="E89" s="280">
        <f>SUM(E88:E88)</f>
        <v>400000</v>
      </c>
      <c r="F89" s="281">
        <f t="shared" si="12"/>
        <v>0</v>
      </c>
      <c r="G89" s="280">
        <f>SUM(G88:G88)</f>
        <v>0</v>
      </c>
      <c r="H89" s="282">
        <f t="shared" si="13"/>
        <v>0</v>
      </c>
    </row>
    <row r="90" spans="1:8" x14ac:dyDescent="0.5">
      <c r="A90" s="553"/>
      <c r="B90" s="553"/>
      <c r="C90" s="553"/>
      <c r="D90" s="553"/>
      <c r="E90" s="553"/>
      <c r="F90" s="553"/>
      <c r="G90" s="553"/>
      <c r="H90" s="553"/>
    </row>
    <row r="91" spans="1:8" x14ac:dyDescent="0.5">
      <c r="A91" s="554" t="s">
        <v>227</v>
      </c>
      <c r="B91" s="555"/>
      <c r="C91" s="555"/>
      <c r="D91" s="555"/>
      <c r="E91" s="555"/>
      <c r="F91" s="555"/>
      <c r="G91" s="555"/>
      <c r="H91" s="556"/>
    </row>
    <row r="92" spans="1:8" x14ac:dyDescent="0.5">
      <c r="A92" s="549"/>
      <c r="B92" s="550"/>
      <c r="C92" s="550"/>
      <c r="D92" s="550"/>
      <c r="E92" s="550"/>
      <c r="F92" s="550"/>
      <c r="G92" s="550"/>
      <c r="H92" s="551"/>
    </row>
    <row r="93" spans="1:8" x14ac:dyDescent="0.5">
      <c r="A93" s="286"/>
      <c r="B93" s="286"/>
      <c r="C93" s="286"/>
      <c r="D93" s="286"/>
      <c r="E93" s="286"/>
      <c r="F93" s="286"/>
      <c r="G93" s="286"/>
      <c r="H93" s="286"/>
    </row>
    <row r="94" spans="1:8" x14ac:dyDescent="0.5">
      <c r="A94" s="286"/>
      <c r="B94" s="286"/>
      <c r="C94" s="286"/>
      <c r="D94" s="286"/>
      <c r="E94" s="286"/>
      <c r="F94" s="286"/>
      <c r="G94" s="286"/>
      <c r="H94" s="286"/>
    </row>
    <row r="95" spans="1:8" x14ac:dyDescent="0.5">
      <c r="A95" s="536" t="s">
        <v>561</v>
      </c>
      <c r="B95" s="537"/>
      <c r="C95" s="557" t="str">
        <f>'Quadro Geral'!C27</f>
        <v>Memória e acervo</v>
      </c>
      <c r="D95" s="557"/>
      <c r="E95" s="557"/>
      <c r="F95" s="557"/>
      <c r="G95" s="557"/>
      <c r="H95" s="558"/>
    </row>
    <row r="96" spans="1:8" x14ac:dyDescent="0.5">
      <c r="A96" s="537" t="s">
        <v>34</v>
      </c>
      <c r="B96" s="537"/>
      <c r="C96" s="557" t="str">
        <f>'Quadro Geral'!E27</f>
        <v>Assegurar a eficácia no atendimento e no relacionamento com os Arquitetos e Urbanistas e a Sociedade</v>
      </c>
      <c r="D96" s="557"/>
      <c r="E96" s="557"/>
      <c r="F96" s="557"/>
      <c r="G96" s="557"/>
      <c r="H96" s="558"/>
    </row>
    <row r="97" spans="1:8" x14ac:dyDescent="0.5">
      <c r="A97" s="303"/>
      <c r="B97" s="303"/>
      <c r="C97" s="303"/>
      <c r="D97" s="270"/>
      <c r="E97" s="270"/>
      <c r="F97" s="270"/>
      <c r="G97" s="270" t="s">
        <v>155</v>
      </c>
      <c r="H97" s="270"/>
    </row>
    <row r="98" spans="1:8" x14ac:dyDescent="0.5">
      <c r="A98" s="540" t="s">
        <v>562</v>
      </c>
      <c r="B98" s="541"/>
      <c r="C98" s="541"/>
      <c r="D98" s="540" t="s">
        <v>563</v>
      </c>
      <c r="E98" s="541"/>
      <c r="F98" s="542"/>
      <c r="G98" s="543" t="s">
        <v>564</v>
      </c>
      <c r="H98" s="544"/>
    </row>
    <row r="99" spans="1:8" x14ac:dyDescent="0.5">
      <c r="A99" s="540" t="s">
        <v>565</v>
      </c>
      <c r="B99" s="541"/>
      <c r="C99" s="542"/>
      <c r="D99" s="540" t="s">
        <v>566</v>
      </c>
      <c r="E99" s="542"/>
      <c r="F99" s="545" t="s">
        <v>567</v>
      </c>
      <c r="G99" s="546" t="s">
        <v>568</v>
      </c>
      <c r="H99" s="546" t="s">
        <v>569</v>
      </c>
    </row>
    <row r="100" spans="1:8" ht="46.8" x14ac:dyDescent="0.5">
      <c r="A100" s="301" t="s">
        <v>570</v>
      </c>
      <c r="B100" s="301" t="s">
        <v>571</v>
      </c>
      <c r="C100" s="276" t="s">
        <v>572</v>
      </c>
      <c r="D100" s="301" t="s">
        <v>573</v>
      </c>
      <c r="E100" s="301" t="s">
        <v>574</v>
      </c>
      <c r="F100" s="545"/>
      <c r="G100" s="547"/>
      <c r="H100" s="547"/>
    </row>
    <row r="101" spans="1:8" x14ac:dyDescent="0.5">
      <c r="A101" s="12"/>
      <c r="B101" s="265" t="s">
        <v>670</v>
      </c>
      <c r="C101" s="12"/>
      <c r="D101" s="13">
        <v>100000</v>
      </c>
      <c r="E101" s="13">
        <v>0</v>
      </c>
      <c r="F101" s="277">
        <f t="shared" ref="F101:F102" si="14">IFERROR(E101/D101*100-100,)</f>
        <v>-100</v>
      </c>
      <c r="G101" s="13"/>
      <c r="H101" s="278">
        <f t="shared" ref="H101:H102" si="15">IFERROR(G101/E101*100,)</f>
        <v>0</v>
      </c>
    </row>
    <row r="102" spans="1:8" x14ac:dyDescent="0.5">
      <c r="A102" s="552" t="s">
        <v>0</v>
      </c>
      <c r="B102" s="552"/>
      <c r="C102" s="552"/>
      <c r="D102" s="280">
        <f>SUM(D101:D101)</f>
        <v>100000</v>
      </c>
      <c r="E102" s="280">
        <f>SUM(E101:E101)</f>
        <v>0</v>
      </c>
      <c r="F102" s="281">
        <f t="shared" si="14"/>
        <v>-100</v>
      </c>
      <c r="G102" s="280">
        <f>SUM(G101:G101)</f>
        <v>0</v>
      </c>
      <c r="H102" s="282">
        <f t="shared" si="15"/>
        <v>0</v>
      </c>
    </row>
    <row r="103" spans="1:8" x14ac:dyDescent="0.5">
      <c r="A103" s="553"/>
      <c r="B103" s="553"/>
      <c r="C103" s="553"/>
      <c r="D103" s="553"/>
      <c r="E103" s="553"/>
      <c r="F103" s="553"/>
      <c r="G103" s="553"/>
      <c r="H103" s="553"/>
    </row>
    <row r="104" spans="1:8" x14ac:dyDescent="0.5">
      <c r="A104" s="554" t="s">
        <v>227</v>
      </c>
      <c r="B104" s="555"/>
      <c r="C104" s="555"/>
      <c r="D104" s="555"/>
      <c r="E104" s="555"/>
      <c r="F104" s="555"/>
      <c r="G104" s="555"/>
      <c r="H104" s="556"/>
    </row>
    <row r="105" spans="1:8" x14ac:dyDescent="0.5">
      <c r="A105" s="549"/>
      <c r="B105" s="550"/>
      <c r="C105" s="550"/>
      <c r="D105" s="550"/>
      <c r="E105" s="550"/>
      <c r="F105" s="550"/>
      <c r="G105" s="550"/>
      <c r="H105" s="551"/>
    </row>
    <row r="106" spans="1:8" x14ac:dyDescent="0.5">
      <c r="A106" s="286"/>
      <c r="B106" s="286"/>
      <c r="C106" s="286"/>
      <c r="D106" s="286"/>
      <c r="E106" s="286"/>
      <c r="F106" s="286"/>
      <c r="G106" s="286"/>
      <c r="H106" s="286"/>
    </row>
    <row r="107" spans="1:8" x14ac:dyDescent="0.5">
      <c r="A107" s="286"/>
      <c r="B107" s="286"/>
      <c r="C107" s="286"/>
      <c r="D107" s="286"/>
      <c r="E107" s="286"/>
      <c r="F107" s="286"/>
      <c r="G107" s="286"/>
      <c r="H107" s="286"/>
    </row>
    <row r="108" spans="1:8" x14ac:dyDescent="0.5">
      <c r="A108" s="536" t="s">
        <v>561</v>
      </c>
      <c r="B108" s="537"/>
      <c r="C108" s="557" t="str">
        <f>'Quadro Geral'!C28</f>
        <v>Participação em eventos</v>
      </c>
      <c r="D108" s="557"/>
      <c r="E108" s="557"/>
      <c r="F108" s="557"/>
      <c r="G108" s="557"/>
      <c r="H108" s="558"/>
    </row>
    <row r="109" spans="1:8" x14ac:dyDescent="0.5">
      <c r="A109" s="537" t="s">
        <v>34</v>
      </c>
      <c r="B109" s="537"/>
      <c r="C109" s="557" t="str">
        <f>'Quadro Geral'!E28</f>
        <v>Estimular o conhecimento, o uso de processos criativos e a difusão das melhores práticas em Arquitetura e Urbanismo</v>
      </c>
      <c r="D109" s="557"/>
      <c r="E109" s="557"/>
      <c r="F109" s="557"/>
      <c r="G109" s="557"/>
      <c r="H109" s="558"/>
    </row>
    <row r="110" spans="1:8" x14ac:dyDescent="0.5">
      <c r="A110" s="303"/>
      <c r="B110" s="303"/>
      <c r="C110" s="303"/>
      <c r="D110" s="270"/>
      <c r="E110" s="270"/>
      <c r="F110" s="270"/>
      <c r="G110" s="270" t="s">
        <v>155</v>
      </c>
      <c r="H110" s="270"/>
    </row>
    <row r="111" spans="1:8" x14ac:dyDescent="0.5">
      <c r="A111" s="540" t="s">
        <v>562</v>
      </c>
      <c r="B111" s="541"/>
      <c r="C111" s="541"/>
      <c r="D111" s="540" t="s">
        <v>563</v>
      </c>
      <c r="E111" s="541"/>
      <c r="F111" s="542"/>
      <c r="G111" s="543" t="s">
        <v>564</v>
      </c>
      <c r="H111" s="544"/>
    </row>
    <row r="112" spans="1:8" x14ac:dyDescent="0.5">
      <c r="A112" s="540" t="s">
        <v>565</v>
      </c>
      <c r="B112" s="541"/>
      <c r="C112" s="542"/>
      <c r="D112" s="540" t="s">
        <v>566</v>
      </c>
      <c r="E112" s="542"/>
      <c r="F112" s="545" t="s">
        <v>567</v>
      </c>
      <c r="G112" s="546" t="s">
        <v>568</v>
      </c>
      <c r="H112" s="546" t="s">
        <v>569</v>
      </c>
    </row>
    <row r="113" spans="1:8" ht="46.8" x14ac:dyDescent="0.5">
      <c r="A113" s="301" t="s">
        <v>570</v>
      </c>
      <c r="B113" s="301" t="s">
        <v>571</v>
      </c>
      <c r="C113" s="276" t="s">
        <v>572</v>
      </c>
      <c r="D113" s="301" t="s">
        <v>573</v>
      </c>
      <c r="E113" s="301" t="s">
        <v>574</v>
      </c>
      <c r="F113" s="545"/>
      <c r="G113" s="547"/>
      <c r="H113" s="547"/>
    </row>
    <row r="114" spans="1:8" x14ac:dyDescent="0.5">
      <c r="A114" s="319"/>
      <c r="B114" s="265" t="s">
        <v>671</v>
      </c>
      <c r="C114" s="319"/>
      <c r="D114" s="13">
        <v>44948.82</v>
      </c>
      <c r="E114" s="13">
        <v>0</v>
      </c>
      <c r="F114" s="277">
        <f t="shared" ref="F114:F115" si="16">IFERROR(E114/D114*100-100,)</f>
        <v>-100</v>
      </c>
      <c r="G114" s="13"/>
      <c r="H114" s="278">
        <f t="shared" ref="H114:H115" si="17">IFERROR(G114/E114*100,)</f>
        <v>0</v>
      </c>
    </row>
    <row r="115" spans="1:8" x14ac:dyDescent="0.5">
      <c r="A115" s="552" t="s">
        <v>0</v>
      </c>
      <c r="B115" s="552"/>
      <c r="C115" s="552"/>
      <c r="D115" s="280">
        <f>SUM(D114:D114)</f>
        <v>44948.82</v>
      </c>
      <c r="E115" s="280">
        <f>SUM(E114:E114)</f>
        <v>0</v>
      </c>
      <c r="F115" s="281">
        <f t="shared" si="16"/>
        <v>-100</v>
      </c>
      <c r="G115" s="280">
        <f>SUM(G114:G114)</f>
        <v>0</v>
      </c>
      <c r="H115" s="282">
        <f t="shared" si="17"/>
        <v>0</v>
      </c>
    </row>
    <row r="116" spans="1:8" x14ac:dyDescent="0.5">
      <c r="A116" s="553"/>
      <c r="B116" s="553"/>
      <c r="C116" s="553"/>
      <c r="D116" s="553"/>
      <c r="E116" s="553"/>
      <c r="F116" s="553"/>
      <c r="G116" s="553"/>
      <c r="H116" s="553"/>
    </row>
    <row r="117" spans="1:8" x14ac:dyDescent="0.5">
      <c r="A117" s="554" t="s">
        <v>227</v>
      </c>
      <c r="B117" s="555"/>
      <c r="C117" s="555"/>
      <c r="D117" s="555"/>
      <c r="E117" s="555"/>
      <c r="F117" s="555"/>
      <c r="G117" s="555"/>
      <c r="H117" s="556"/>
    </row>
    <row r="118" spans="1:8" x14ac:dyDescent="0.5">
      <c r="A118" s="549"/>
      <c r="B118" s="550"/>
      <c r="C118" s="550"/>
      <c r="D118" s="550"/>
      <c r="E118" s="550"/>
      <c r="F118" s="550"/>
      <c r="G118" s="550"/>
      <c r="H118" s="551"/>
    </row>
    <row r="119" spans="1:8" x14ac:dyDescent="0.5">
      <c r="A119" s="286"/>
      <c r="B119" s="286"/>
      <c r="C119" s="286"/>
      <c r="D119" s="286"/>
      <c r="E119" s="286"/>
      <c r="F119" s="286"/>
      <c r="G119" s="286"/>
      <c r="H119" s="286"/>
    </row>
    <row r="120" spans="1:8" x14ac:dyDescent="0.5">
      <c r="A120" s="286"/>
      <c r="B120" s="286"/>
      <c r="C120" s="286"/>
      <c r="D120" s="286"/>
      <c r="E120" s="286"/>
      <c r="F120" s="286"/>
      <c r="G120" s="286"/>
      <c r="H120" s="286"/>
    </row>
    <row r="121" spans="1:8" x14ac:dyDescent="0.5">
      <c r="A121" s="536" t="s">
        <v>561</v>
      </c>
      <c r="B121" s="537"/>
      <c r="C121" s="557" t="str">
        <f>'Quadro Geral'!C29</f>
        <v>Casa Saudável</v>
      </c>
      <c r="D121" s="557"/>
      <c r="E121" s="557"/>
      <c r="F121" s="557"/>
      <c r="G121" s="557"/>
      <c r="H121" s="558"/>
    </row>
    <row r="122" spans="1:8" x14ac:dyDescent="0.5">
      <c r="A122" s="537" t="s">
        <v>34</v>
      </c>
      <c r="B122" s="537"/>
      <c r="C122" s="557" t="str">
        <f>'Quadro Geral'!E29</f>
        <v>Fomentar o acesso da sociedade à Arquitetura e Urbanismo</v>
      </c>
      <c r="D122" s="557"/>
      <c r="E122" s="557"/>
      <c r="F122" s="557"/>
      <c r="G122" s="557"/>
      <c r="H122" s="558"/>
    </row>
    <row r="123" spans="1:8" x14ac:dyDescent="0.5">
      <c r="A123" s="303"/>
      <c r="B123" s="303"/>
      <c r="C123" s="303"/>
      <c r="D123" s="270"/>
      <c r="E123" s="270"/>
      <c r="F123" s="270"/>
      <c r="G123" s="270" t="s">
        <v>155</v>
      </c>
      <c r="H123" s="270"/>
    </row>
    <row r="124" spans="1:8" x14ac:dyDescent="0.5">
      <c r="A124" s="540" t="s">
        <v>562</v>
      </c>
      <c r="B124" s="541"/>
      <c r="C124" s="541"/>
      <c r="D124" s="540" t="s">
        <v>563</v>
      </c>
      <c r="E124" s="541"/>
      <c r="F124" s="542"/>
      <c r="G124" s="543" t="s">
        <v>564</v>
      </c>
      <c r="H124" s="544"/>
    </row>
    <row r="125" spans="1:8" x14ac:dyDescent="0.5">
      <c r="A125" s="540" t="s">
        <v>565</v>
      </c>
      <c r="B125" s="541"/>
      <c r="C125" s="542"/>
      <c r="D125" s="540" t="s">
        <v>566</v>
      </c>
      <c r="E125" s="542"/>
      <c r="F125" s="545" t="s">
        <v>567</v>
      </c>
      <c r="G125" s="546" t="s">
        <v>568</v>
      </c>
      <c r="H125" s="546" t="s">
        <v>569</v>
      </c>
    </row>
    <row r="126" spans="1:8" ht="46.8" x14ac:dyDescent="0.5">
      <c r="A126" s="301" t="s">
        <v>570</v>
      </c>
      <c r="B126" s="301" t="s">
        <v>571</v>
      </c>
      <c r="C126" s="276" t="s">
        <v>572</v>
      </c>
      <c r="D126" s="301" t="s">
        <v>573</v>
      </c>
      <c r="E126" s="301" t="s">
        <v>574</v>
      </c>
      <c r="F126" s="545"/>
      <c r="G126" s="547"/>
      <c r="H126" s="547"/>
    </row>
    <row r="127" spans="1:8" x14ac:dyDescent="0.5">
      <c r="A127" s="319"/>
      <c r="B127" s="265" t="s">
        <v>672</v>
      </c>
      <c r="C127" s="319"/>
      <c r="D127" s="13">
        <v>700000</v>
      </c>
      <c r="E127" s="13">
        <v>0</v>
      </c>
      <c r="F127" s="277">
        <f t="shared" ref="F127:F128" si="18">IFERROR(E127/D127*100-100,)</f>
        <v>-100</v>
      </c>
      <c r="G127" s="13"/>
      <c r="H127" s="278">
        <f t="shared" ref="H127:H128" si="19">IFERROR(G127/E127*100,)</f>
        <v>0</v>
      </c>
    </row>
    <row r="128" spans="1:8" x14ac:dyDescent="0.5">
      <c r="A128" s="552" t="s">
        <v>0</v>
      </c>
      <c r="B128" s="552"/>
      <c r="C128" s="552"/>
      <c r="D128" s="280">
        <f>SUM(D127:D127)</f>
        <v>700000</v>
      </c>
      <c r="E128" s="280">
        <f>SUM(E127:E127)</f>
        <v>0</v>
      </c>
      <c r="F128" s="281">
        <f t="shared" si="18"/>
        <v>-100</v>
      </c>
      <c r="G128" s="280">
        <f>SUM(G127:G127)</f>
        <v>0</v>
      </c>
      <c r="H128" s="282">
        <f t="shared" si="19"/>
        <v>0</v>
      </c>
    </row>
    <row r="129" spans="1:8" x14ac:dyDescent="0.5">
      <c r="A129" s="553"/>
      <c r="B129" s="553"/>
      <c r="C129" s="553"/>
      <c r="D129" s="553"/>
      <c r="E129" s="553"/>
      <c r="F129" s="553"/>
      <c r="G129" s="553"/>
      <c r="H129" s="553"/>
    </row>
    <row r="130" spans="1:8" x14ac:dyDescent="0.5">
      <c r="A130" s="554" t="s">
        <v>227</v>
      </c>
      <c r="B130" s="555"/>
      <c r="C130" s="555"/>
      <c r="D130" s="555"/>
      <c r="E130" s="555"/>
      <c r="F130" s="555"/>
      <c r="G130" s="555"/>
      <c r="H130" s="556"/>
    </row>
    <row r="131" spans="1:8" x14ac:dyDescent="0.5">
      <c r="A131" s="549"/>
      <c r="B131" s="550"/>
      <c r="C131" s="550"/>
      <c r="D131" s="550"/>
      <c r="E131" s="550"/>
      <c r="F131" s="550"/>
      <c r="G131" s="550"/>
      <c r="H131" s="551"/>
    </row>
    <row r="132" spans="1:8" x14ac:dyDescent="0.5">
      <c r="A132" s="286"/>
      <c r="B132" s="286"/>
      <c r="C132" s="286"/>
      <c r="D132" s="286"/>
      <c r="E132" s="286"/>
      <c r="F132" s="286"/>
      <c r="G132" s="286"/>
      <c r="H132" s="286"/>
    </row>
    <row r="133" spans="1:8" x14ac:dyDescent="0.5">
      <c r="A133" s="286"/>
      <c r="B133" s="286"/>
      <c r="C133" s="286"/>
      <c r="D133" s="286"/>
      <c r="E133" s="286"/>
      <c r="F133" s="286"/>
      <c r="G133" s="286"/>
      <c r="H133" s="286"/>
    </row>
    <row r="134" spans="1:8" x14ac:dyDescent="0.5">
      <c r="A134" s="536" t="s">
        <v>561</v>
      </c>
      <c r="B134" s="537"/>
      <c r="C134" s="557" t="str">
        <f>'Quadro Geral'!C30</f>
        <v>Projeto especial LGPD</v>
      </c>
      <c r="D134" s="557"/>
      <c r="E134" s="557"/>
      <c r="F134" s="557"/>
      <c r="G134" s="557"/>
      <c r="H134" s="558"/>
    </row>
    <row r="135" spans="1:8" x14ac:dyDescent="0.5">
      <c r="A135" s="537" t="s">
        <v>34</v>
      </c>
      <c r="B135" s="537"/>
      <c r="C135" s="557"/>
      <c r="D135" s="557"/>
      <c r="E135" s="557"/>
      <c r="F135" s="557"/>
      <c r="G135" s="557"/>
      <c r="H135" s="558"/>
    </row>
    <row r="136" spans="1:8" x14ac:dyDescent="0.5">
      <c r="A136" s="303"/>
      <c r="B136" s="303"/>
      <c r="C136" s="303"/>
      <c r="D136" s="270"/>
      <c r="E136" s="270"/>
      <c r="F136" s="270"/>
      <c r="G136" s="270" t="s">
        <v>155</v>
      </c>
      <c r="H136" s="270"/>
    </row>
    <row r="137" spans="1:8" x14ac:dyDescent="0.5">
      <c r="A137" s="540" t="s">
        <v>562</v>
      </c>
      <c r="B137" s="541"/>
      <c r="C137" s="541"/>
      <c r="D137" s="540" t="s">
        <v>563</v>
      </c>
      <c r="E137" s="541"/>
      <c r="F137" s="542"/>
      <c r="G137" s="543" t="s">
        <v>564</v>
      </c>
      <c r="H137" s="544"/>
    </row>
    <row r="138" spans="1:8" x14ac:dyDescent="0.5">
      <c r="A138" s="540" t="s">
        <v>565</v>
      </c>
      <c r="B138" s="541"/>
      <c r="C138" s="542"/>
      <c r="D138" s="540" t="s">
        <v>566</v>
      </c>
      <c r="E138" s="542"/>
      <c r="F138" s="545" t="s">
        <v>567</v>
      </c>
      <c r="G138" s="546" t="s">
        <v>568</v>
      </c>
      <c r="H138" s="546" t="s">
        <v>569</v>
      </c>
    </row>
    <row r="139" spans="1:8" ht="46.8" x14ac:dyDescent="0.5">
      <c r="A139" s="301" t="s">
        <v>570</v>
      </c>
      <c r="B139" s="301" t="s">
        <v>571</v>
      </c>
      <c r="C139" s="276" t="s">
        <v>572</v>
      </c>
      <c r="D139" s="301" t="s">
        <v>573</v>
      </c>
      <c r="E139" s="301" t="s">
        <v>574</v>
      </c>
      <c r="F139" s="545"/>
      <c r="G139" s="547"/>
      <c r="H139" s="547"/>
    </row>
    <row r="140" spans="1:8" ht="33.6" x14ac:dyDescent="0.5">
      <c r="A140" s="319"/>
      <c r="B140" s="265" t="s">
        <v>737</v>
      </c>
      <c r="C140" s="319"/>
      <c r="D140" s="13">
        <v>0</v>
      </c>
      <c r="E140" s="13">
        <v>150000</v>
      </c>
      <c r="F140" s="277">
        <f t="shared" ref="F140:F141" si="20">IFERROR(E140/D140*100-100,)</f>
        <v>0</v>
      </c>
      <c r="G140" s="13"/>
      <c r="H140" s="278">
        <f t="shared" ref="H140:H141" si="21">IFERROR(G140/E140*100,)</f>
        <v>0</v>
      </c>
    </row>
    <row r="141" spans="1:8" x14ac:dyDescent="0.5">
      <c r="A141" s="552" t="s">
        <v>0</v>
      </c>
      <c r="B141" s="552"/>
      <c r="C141" s="552"/>
      <c r="D141" s="280">
        <f>SUM(D140:D140)</f>
        <v>0</v>
      </c>
      <c r="E141" s="280">
        <f>SUM(E140:E140)</f>
        <v>150000</v>
      </c>
      <c r="F141" s="281">
        <f t="shared" si="20"/>
        <v>0</v>
      </c>
      <c r="G141" s="280">
        <f>SUM(G140:G140)</f>
        <v>0</v>
      </c>
      <c r="H141" s="282">
        <f t="shared" si="21"/>
        <v>0</v>
      </c>
    </row>
    <row r="142" spans="1:8" x14ac:dyDescent="0.5">
      <c r="A142" s="553"/>
      <c r="B142" s="553"/>
      <c r="C142" s="553"/>
      <c r="D142" s="553"/>
      <c r="E142" s="553"/>
      <c r="F142" s="553"/>
      <c r="G142" s="553"/>
      <c r="H142" s="553"/>
    </row>
    <row r="143" spans="1:8" x14ac:dyDescent="0.5">
      <c r="A143" s="554" t="s">
        <v>227</v>
      </c>
      <c r="B143" s="555"/>
      <c r="C143" s="555"/>
      <c r="D143" s="555"/>
      <c r="E143" s="555"/>
      <c r="F143" s="555"/>
      <c r="G143" s="555"/>
      <c r="H143" s="556"/>
    </row>
    <row r="144" spans="1:8" x14ac:dyDescent="0.5">
      <c r="A144" s="549"/>
      <c r="B144" s="550"/>
      <c r="C144" s="550"/>
      <c r="D144" s="550"/>
      <c r="E144" s="550"/>
      <c r="F144" s="550"/>
      <c r="G144" s="550"/>
      <c r="H144" s="551"/>
    </row>
    <row r="145" spans="1:8" x14ac:dyDescent="0.5">
      <c r="A145" s="286"/>
      <c r="B145" s="286"/>
      <c r="C145" s="286"/>
      <c r="D145" s="286"/>
      <c r="E145" s="286"/>
      <c r="F145" s="286"/>
      <c r="G145" s="286"/>
      <c r="H145" s="286"/>
    </row>
    <row r="146" spans="1:8" x14ac:dyDescent="0.5">
      <c r="A146" s="286"/>
      <c r="B146" s="286"/>
      <c r="C146" s="286"/>
      <c r="D146" s="286"/>
      <c r="E146" s="286"/>
      <c r="F146" s="286"/>
      <c r="G146" s="286"/>
      <c r="H146" s="286"/>
    </row>
    <row r="147" spans="1:8" x14ac:dyDescent="0.5">
      <c r="A147" s="286"/>
      <c r="B147" s="286"/>
      <c r="C147" s="286"/>
      <c r="D147" s="286"/>
      <c r="E147" s="286"/>
      <c r="F147" s="286"/>
      <c r="G147" s="286"/>
      <c r="H147" s="286"/>
    </row>
    <row r="148" spans="1:8" x14ac:dyDescent="0.5">
      <c r="A148" s="286"/>
      <c r="B148" s="286"/>
      <c r="C148" s="286"/>
      <c r="D148" s="286"/>
      <c r="E148" s="286"/>
      <c r="F148" s="286"/>
      <c r="G148" s="286"/>
      <c r="H148" s="286"/>
    </row>
    <row r="149" spans="1:8" x14ac:dyDescent="0.5">
      <c r="A149" s="286"/>
      <c r="B149" s="286"/>
      <c r="C149" s="286"/>
      <c r="D149" s="286"/>
      <c r="E149" s="286"/>
      <c r="F149" s="286"/>
      <c r="G149" s="286"/>
      <c r="H149" s="286"/>
    </row>
    <row r="150" spans="1:8" x14ac:dyDescent="0.5">
      <c r="A150" s="286"/>
      <c r="B150" s="286"/>
      <c r="C150" s="286"/>
      <c r="D150" s="286"/>
      <c r="E150" s="286"/>
      <c r="F150" s="286"/>
      <c r="G150" s="286"/>
      <c r="H150" s="286"/>
    </row>
    <row r="151" spans="1:8" x14ac:dyDescent="0.5">
      <c r="A151" s="286"/>
      <c r="B151" s="286"/>
      <c r="C151" s="286"/>
      <c r="D151" s="286"/>
      <c r="E151" s="286"/>
      <c r="F151" s="286"/>
      <c r="G151" s="286"/>
      <c r="H151" s="286"/>
    </row>
    <row r="152" spans="1:8" x14ac:dyDescent="0.5">
      <c r="A152" s="286"/>
      <c r="B152" s="286"/>
      <c r="C152" s="286"/>
      <c r="D152" s="286"/>
      <c r="E152" s="286"/>
      <c r="F152" s="286"/>
      <c r="G152" s="286"/>
      <c r="H152" s="286"/>
    </row>
    <row r="153" spans="1:8" x14ac:dyDescent="0.5">
      <c r="A153" s="286"/>
      <c r="B153" s="286"/>
      <c r="C153" s="286"/>
      <c r="D153" s="286"/>
      <c r="E153" s="286"/>
      <c r="F153" s="286"/>
      <c r="G153" s="286"/>
      <c r="H153" s="286"/>
    </row>
    <row r="154" spans="1:8" x14ac:dyDescent="0.5">
      <c r="A154" s="286"/>
      <c r="B154" s="286"/>
      <c r="C154" s="286"/>
      <c r="D154" s="286"/>
      <c r="E154" s="286"/>
      <c r="F154" s="286"/>
      <c r="G154" s="286"/>
      <c r="H154" s="286"/>
    </row>
    <row r="155" spans="1:8" x14ac:dyDescent="0.5">
      <c r="A155" s="286"/>
      <c r="B155" s="286"/>
      <c r="C155" s="286"/>
      <c r="D155" s="286"/>
      <c r="E155" s="286"/>
      <c r="F155" s="286"/>
      <c r="G155" s="286"/>
      <c r="H155" s="286"/>
    </row>
    <row r="156" spans="1:8" x14ac:dyDescent="0.5">
      <c r="A156" s="286"/>
      <c r="B156" s="286"/>
      <c r="C156" s="286"/>
      <c r="D156" s="286"/>
      <c r="E156" s="286"/>
      <c r="F156" s="286"/>
      <c r="G156" s="286"/>
      <c r="H156" s="286"/>
    </row>
    <row r="157" spans="1:8" x14ac:dyDescent="0.5">
      <c r="A157" s="286"/>
      <c r="B157" s="286"/>
      <c r="C157" s="286"/>
      <c r="D157" s="286"/>
      <c r="E157" s="286"/>
      <c r="F157" s="286"/>
      <c r="G157" s="286"/>
      <c r="H157" s="286"/>
    </row>
    <row r="158" spans="1:8" x14ac:dyDescent="0.5">
      <c r="A158" s="286"/>
      <c r="B158" s="286"/>
      <c r="C158" s="286"/>
      <c r="D158" s="286"/>
      <c r="E158" s="286"/>
      <c r="F158" s="286"/>
      <c r="G158" s="286"/>
      <c r="H158" s="286"/>
    </row>
    <row r="159" spans="1:8" x14ac:dyDescent="0.5">
      <c r="A159" s="286"/>
      <c r="B159" s="286"/>
      <c r="C159" s="286"/>
      <c r="D159" s="286"/>
      <c r="E159" s="286"/>
      <c r="F159" s="286"/>
      <c r="G159" s="286"/>
      <c r="H159" s="286"/>
    </row>
    <row r="160" spans="1:8" x14ac:dyDescent="0.5">
      <c r="A160" s="286"/>
      <c r="B160" s="286"/>
      <c r="C160" s="286"/>
      <c r="D160" s="286"/>
      <c r="E160" s="286"/>
      <c r="F160" s="286"/>
      <c r="G160" s="286"/>
      <c r="H160" s="286"/>
    </row>
    <row r="161" spans="1:8" x14ac:dyDescent="0.5">
      <c r="A161" s="286"/>
      <c r="B161" s="286"/>
      <c r="C161" s="286"/>
      <c r="D161" s="286"/>
      <c r="E161" s="286"/>
      <c r="F161" s="286"/>
      <c r="G161" s="286"/>
      <c r="H161" s="286"/>
    </row>
    <row r="162" spans="1:8" x14ac:dyDescent="0.5">
      <c r="A162" s="286"/>
      <c r="B162" s="286"/>
      <c r="C162" s="286"/>
      <c r="D162" s="286"/>
      <c r="E162" s="286"/>
      <c r="F162" s="286"/>
      <c r="G162" s="286"/>
      <c r="H162" s="286"/>
    </row>
    <row r="163" spans="1:8" x14ac:dyDescent="0.5">
      <c r="A163" s="286"/>
      <c r="B163" s="286"/>
      <c r="C163" s="286"/>
      <c r="D163" s="286"/>
      <c r="E163" s="286"/>
      <c r="F163" s="286"/>
      <c r="G163" s="286"/>
      <c r="H163" s="286"/>
    </row>
    <row r="164" spans="1:8" x14ac:dyDescent="0.5">
      <c r="A164" s="286"/>
      <c r="B164" s="286"/>
      <c r="C164" s="286"/>
      <c r="D164" s="286"/>
      <c r="E164" s="286"/>
      <c r="F164" s="286"/>
      <c r="G164" s="286"/>
      <c r="H164" s="286"/>
    </row>
    <row r="165" spans="1:8" x14ac:dyDescent="0.5">
      <c r="A165" s="286"/>
      <c r="B165" s="286"/>
      <c r="C165" s="286"/>
      <c r="D165" s="286"/>
      <c r="E165" s="286"/>
      <c r="F165" s="286"/>
      <c r="G165" s="286"/>
      <c r="H165" s="286"/>
    </row>
    <row r="166" spans="1:8" x14ac:dyDescent="0.5">
      <c r="A166" s="286"/>
      <c r="B166" s="286"/>
      <c r="C166" s="286"/>
      <c r="D166" s="286"/>
      <c r="E166" s="286"/>
      <c r="F166" s="286"/>
      <c r="G166" s="286"/>
      <c r="H166" s="286"/>
    </row>
    <row r="167" spans="1:8" x14ac:dyDescent="0.5">
      <c r="A167" s="286"/>
      <c r="B167" s="286"/>
      <c r="C167" s="286"/>
      <c r="D167" s="286"/>
      <c r="E167" s="286"/>
      <c r="F167" s="286"/>
      <c r="G167" s="286"/>
      <c r="H167" s="286"/>
    </row>
    <row r="168" spans="1:8" x14ac:dyDescent="0.5">
      <c r="A168" s="286"/>
      <c r="B168" s="286"/>
      <c r="C168" s="286"/>
      <c r="D168" s="286"/>
      <c r="E168" s="286"/>
      <c r="F168" s="286"/>
      <c r="G168" s="286"/>
      <c r="H168" s="286"/>
    </row>
    <row r="169" spans="1:8" x14ac:dyDescent="0.5">
      <c r="A169" s="286"/>
      <c r="B169" s="286"/>
      <c r="C169" s="286"/>
      <c r="D169" s="286"/>
      <c r="E169" s="286"/>
      <c r="F169" s="286"/>
      <c r="G169" s="286"/>
      <c r="H169" s="286"/>
    </row>
    <row r="170" spans="1:8" x14ac:dyDescent="0.5">
      <c r="A170" s="286"/>
      <c r="B170" s="286"/>
      <c r="C170" s="286"/>
      <c r="D170" s="286"/>
      <c r="E170" s="286"/>
      <c r="F170" s="286"/>
      <c r="G170" s="286"/>
      <c r="H170" s="286"/>
    </row>
    <row r="171" spans="1:8" x14ac:dyDescent="0.5">
      <c r="A171" s="286"/>
      <c r="B171" s="286"/>
      <c r="C171" s="286"/>
      <c r="D171" s="286"/>
      <c r="E171" s="286"/>
      <c r="F171" s="286"/>
      <c r="G171" s="286"/>
      <c r="H171" s="286"/>
    </row>
    <row r="172" spans="1:8" x14ac:dyDescent="0.5">
      <c r="A172" s="286"/>
      <c r="B172" s="286"/>
      <c r="C172" s="286"/>
      <c r="D172" s="286"/>
      <c r="E172" s="286"/>
      <c r="F172" s="286"/>
      <c r="G172" s="286"/>
      <c r="H172" s="286"/>
    </row>
    <row r="173" spans="1:8" x14ac:dyDescent="0.5">
      <c r="A173" s="286"/>
      <c r="B173" s="286"/>
      <c r="C173" s="286"/>
      <c r="D173" s="286"/>
      <c r="E173" s="286"/>
      <c r="F173" s="286"/>
      <c r="G173" s="286"/>
      <c r="H173" s="286"/>
    </row>
    <row r="174" spans="1:8" x14ac:dyDescent="0.5">
      <c r="A174" s="286"/>
      <c r="B174" s="286"/>
      <c r="C174" s="286"/>
      <c r="D174" s="286"/>
      <c r="E174" s="286"/>
      <c r="F174" s="286"/>
      <c r="G174" s="286"/>
      <c r="H174" s="286"/>
    </row>
    <row r="175" spans="1:8" x14ac:dyDescent="0.5">
      <c r="A175" s="286"/>
      <c r="B175" s="286"/>
      <c r="C175" s="286"/>
      <c r="D175" s="286"/>
      <c r="E175" s="286"/>
      <c r="F175" s="286"/>
      <c r="G175" s="286"/>
      <c r="H175" s="286"/>
    </row>
    <row r="176" spans="1:8" x14ac:dyDescent="0.5">
      <c r="A176" s="286"/>
      <c r="B176" s="286"/>
      <c r="C176" s="286"/>
      <c r="D176" s="286"/>
      <c r="E176" s="286"/>
      <c r="F176" s="286"/>
      <c r="G176" s="286"/>
      <c r="H176" s="286"/>
    </row>
    <row r="177" spans="1:8" x14ac:dyDescent="0.5">
      <c r="A177" s="286"/>
      <c r="B177" s="286"/>
      <c r="C177" s="286"/>
      <c r="D177" s="286"/>
      <c r="E177" s="286"/>
      <c r="F177" s="286"/>
      <c r="G177" s="286"/>
      <c r="H177" s="286"/>
    </row>
    <row r="178" spans="1:8" x14ac:dyDescent="0.5">
      <c r="A178" s="286"/>
      <c r="B178" s="286"/>
      <c r="C178" s="286"/>
      <c r="D178" s="286"/>
      <c r="E178" s="286"/>
      <c r="F178" s="286"/>
      <c r="G178" s="286"/>
      <c r="H178" s="286"/>
    </row>
    <row r="179" spans="1:8" x14ac:dyDescent="0.5">
      <c r="A179" s="286"/>
      <c r="B179" s="286"/>
      <c r="C179" s="286"/>
      <c r="D179" s="286"/>
      <c r="E179" s="286"/>
      <c r="F179" s="286"/>
      <c r="G179" s="286"/>
      <c r="H179" s="286"/>
    </row>
    <row r="180" spans="1:8" x14ac:dyDescent="0.5">
      <c r="A180" s="286"/>
      <c r="B180" s="286"/>
      <c r="C180" s="286"/>
      <c r="D180" s="286"/>
      <c r="E180" s="286"/>
      <c r="F180" s="286"/>
      <c r="G180" s="286"/>
      <c r="H180" s="286"/>
    </row>
    <row r="181" spans="1:8" x14ac:dyDescent="0.5">
      <c r="A181" s="286"/>
      <c r="B181" s="286"/>
      <c r="C181" s="286"/>
      <c r="D181" s="286"/>
      <c r="E181" s="286"/>
      <c r="F181" s="286"/>
      <c r="G181" s="286"/>
      <c r="H181" s="286"/>
    </row>
    <row r="182" spans="1:8" x14ac:dyDescent="0.5">
      <c r="A182" s="286"/>
      <c r="B182" s="286"/>
      <c r="C182" s="286"/>
      <c r="D182" s="286"/>
      <c r="E182" s="286"/>
      <c r="F182" s="286"/>
      <c r="G182" s="286"/>
      <c r="H182" s="286"/>
    </row>
    <row r="183" spans="1:8" x14ac:dyDescent="0.5">
      <c r="A183" s="286"/>
      <c r="B183" s="286"/>
      <c r="C183" s="286"/>
      <c r="D183" s="286"/>
      <c r="E183" s="286"/>
      <c r="F183" s="286"/>
      <c r="G183" s="286"/>
      <c r="H183" s="286"/>
    </row>
    <row r="184" spans="1:8" x14ac:dyDescent="0.5">
      <c r="A184" s="286"/>
      <c r="B184" s="286"/>
      <c r="C184" s="286"/>
      <c r="D184" s="286"/>
      <c r="E184" s="286"/>
      <c r="F184" s="286"/>
      <c r="G184" s="286"/>
      <c r="H184" s="286"/>
    </row>
    <row r="185" spans="1:8" x14ac:dyDescent="0.5">
      <c r="A185" s="286"/>
      <c r="B185" s="286"/>
      <c r="C185" s="286"/>
      <c r="D185" s="286"/>
      <c r="E185" s="286"/>
      <c r="F185" s="286"/>
      <c r="G185" s="286"/>
      <c r="H185" s="286"/>
    </row>
    <row r="186" spans="1:8" x14ac:dyDescent="0.5">
      <c r="A186" s="286"/>
      <c r="B186" s="286"/>
      <c r="C186" s="286"/>
      <c r="D186" s="286"/>
      <c r="E186" s="286"/>
      <c r="F186" s="286"/>
      <c r="G186" s="286"/>
      <c r="H186" s="286"/>
    </row>
    <row r="187" spans="1:8" x14ac:dyDescent="0.5">
      <c r="A187" s="286"/>
      <c r="B187" s="286"/>
      <c r="C187" s="286"/>
      <c r="D187" s="286"/>
      <c r="E187" s="286"/>
      <c r="F187" s="286"/>
      <c r="G187" s="286"/>
      <c r="H187" s="286"/>
    </row>
    <row r="188" spans="1:8" x14ac:dyDescent="0.5">
      <c r="A188" s="286"/>
      <c r="B188" s="286"/>
      <c r="C188" s="286"/>
      <c r="D188" s="286"/>
      <c r="E188" s="286"/>
      <c r="F188" s="286"/>
      <c r="G188" s="286"/>
      <c r="H188" s="286"/>
    </row>
    <row r="189" spans="1:8" x14ac:dyDescent="0.5">
      <c r="A189" s="286"/>
      <c r="B189" s="286"/>
      <c r="C189" s="286"/>
      <c r="D189" s="286"/>
      <c r="E189" s="286"/>
      <c r="F189" s="286"/>
      <c r="G189" s="286"/>
      <c r="H189" s="286"/>
    </row>
    <row r="190" spans="1:8" x14ac:dyDescent="0.5">
      <c r="A190" s="286"/>
      <c r="B190" s="286"/>
      <c r="C190" s="286"/>
      <c r="D190" s="286"/>
      <c r="E190" s="286"/>
      <c r="F190" s="286"/>
      <c r="G190" s="286"/>
      <c r="H190" s="286"/>
    </row>
    <row r="191" spans="1:8" x14ac:dyDescent="0.5">
      <c r="A191" s="286"/>
      <c r="B191" s="286"/>
      <c r="C191" s="286"/>
      <c r="D191" s="286"/>
      <c r="E191" s="286"/>
      <c r="F191" s="286"/>
      <c r="G191" s="286"/>
      <c r="H191" s="286"/>
    </row>
    <row r="192" spans="1:8" x14ac:dyDescent="0.5">
      <c r="A192" s="286"/>
      <c r="B192" s="286"/>
      <c r="C192" s="286"/>
      <c r="D192" s="286"/>
      <c r="E192" s="286"/>
      <c r="F192" s="286"/>
      <c r="G192" s="286"/>
      <c r="H192" s="286"/>
    </row>
    <row r="193" spans="1:8" x14ac:dyDescent="0.5">
      <c r="A193" s="286"/>
      <c r="B193" s="286"/>
      <c r="C193" s="286"/>
      <c r="D193" s="286"/>
      <c r="E193" s="286"/>
      <c r="F193" s="286"/>
      <c r="G193" s="286"/>
      <c r="H193" s="286"/>
    </row>
    <row r="194" spans="1:8" x14ac:dyDescent="0.5">
      <c r="A194" s="286"/>
      <c r="B194" s="286"/>
      <c r="C194" s="286"/>
      <c r="D194" s="286"/>
      <c r="E194" s="286"/>
      <c r="F194" s="286"/>
      <c r="G194" s="286"/>
      <c r="H194" s="286"/>
    </row>
    <row r="195" spans="1:8" x14ac:dyDescent="0.5">
      <c r="A195" s="286"/>
      <c r="B195" s="286"/>
      <c r="C195" s="286"/>
      <c r="D195" s="286"/>
      <c r="E195" s="286"/>
      <c r="F195" s="286"/>
      <c r="G195" s="286"/>
      <c r="H195" s="286"/>
    </row>
    <row r="196" spans="1:8" x14ac:dyDescent="0.5">
      <c r="A196" s="286"/>
      <c r="B196" s="286"/>
      <c r="C196" s="286"/>
      <c r="D196" s="286"/>
      <c r="E196" s="286"/>
      <c r="F196" s="286"/>
      <c r="G196" s="286"/>
      <c r="H196" s="286"/>
    </row>
    <row r="197" spans="1:8" x14ac:dyDescent="0.5">
      <c r="A197" s="286"/>
      <c r="B197" s="286"/>
      <c r="C197" s="286"/>
      <c r="D197" s="286"/>
      <c r="E197" s="286"/>
      <c r="F197" s="286"/>
      <c r="G197" s="286"/>
      <c r="H197" s="286"/>
    </row>
    <row r="198" spans="1:8" x14ac:dyDescent="0.5">
      <c r="A198" s="286"/>
      <c r="B198" s="286"/>
      <c r="C198" s="286"/>
      <c r="D198" s="286"/>
      <c r="E198" s="286"/>
      <c r="F198" s="286"/>
      <c r="G198" s="286"/>
      <c r="H198" s="286"/>
    </row>
    <row r="199" spans="1:8" x14ac:dyDescent="0.5">
      <c r="A199" s="286"/>
      <c r="B199" s="286"/>
      <c r="C199" s="286"/>
      <c r="D199" s="286"/>
      <c r="E199" s="286"/>
      <c r="F199" s="286"/>
      <c r="G199" s="286"/>
      <c r="H199" s="286"/>
    </row>
    <row r="200" spans="1:8" x14ac:dyDescent="0.5">
      <c r="A200" s="286"/>
      <c r="B200" s="286"/>
      <c r="C200" s="286"/>
      <c r="D200" s="286"/>
      <c r="E200" s="286"/>
      <c r="F200" s="286"/>
      <c r="G200" s="286"/>
      <c r="H200" s="286"/>
    </row>
    <row r="201" spans="1:8" x14ac:dyDescent="0.5">
      <c r="A201" s="286"/>
      <c r="B201" s="286"/>
      <c r="C201" s="286"/>
      <c r="D201" s="286"/>
      <c r="E201" s="286"/>
      <c r="F201" s="286"/>
      <c r="G201" s="286"/>
      <c r="H201" s="286"/>
    </row>
    <row r="202" spans="1:8" x14ac:dyDescent="0.5">
      <c r="A202" s="286"/>
      <c r="B202" s="286"/>
      <c r="C202" s="286"/>
      <c r="D202" s="286"/>
      <c r="E202" s="286"/>
      <c r="F202" s="286"/>
      <c r="G202" s="286"/>
      <c r="H202" s="286"/>
    </row>
    <row r="203" spans="1:8" x14ac:dyDescent="0.5">
      <c r="A203" s="286"/>
      <c r="B203" s="286"/>
      <c r="C203" s="286"/>
      <c r="D203" s="286"/>
      <c r="E203" s="286"/>
      <c r="F203" s="286"/>
      <c r="G203" s="286"/>
      <c r="H203" s="286"/>
    </row>
    <row r="204" spans="1:8" x14ac:dyDescent="0.5">
      <c r="A204" s="286"/>
      <c r="B204" s="286"/>
      <c r="C204" s="286"/>
      <c r="D204" s="286"/>
      <c r="E204" s="286"/>
      <c r="F204" s="286"/>
      <c r="G204" s="286"/>
      <c r="H204" s="286"/>
    </row>
    <row r="205" spans="1:8" x14ac:dyDescent="0.5">
      <c r="A205" s="286"/>
      <c r="B205" s="286"/>
      <c r="C205" s="286"/>
      <c r="D205" s="286"/>
      <c r="E205" s="286"/>
      <c r="F205" s="286"/>
      <c r="G205" s="286"/>
      <c r="H205" s="286"/>
    </row>
    <row r="206" spans="1:8" x14ac:dyDescent="0.5">
      <c r="A206" s="286"/>
      <c r="B206" s="286"/>
      <c r="C206" s="286"/>
      <c r="D206" s="286"/>
      <c r="E206" s="286"/>
      <c r="F206" s="286"/>
      <c r="G206" s="286"/>
      <c r="H206" s="286"/>
    </row>
    <row r="207" spans="1:8" x14ac:dyDescent="0.5">
      <c r="A207" s="286"/>
      <c r="B207" s="286"/>
      <c r="C207" s="286"/>
      <c r="D207" s="286"/>
      <c r="E207" s="286"/>
      <c r="F207" s="286"/>
      <c r="G207" s="286"/>
      <c r="H207" s="286"/>
    </row>
    <row r="208" spans="1:8" x14ac:dyDescent="0.5">
      <c r="A208" s="286"/>
      <c r="B208" s="286"/>
      <c r="C208" s="286"/>
      <c r="D208" s="286"/>
      <c r="E208" s="286"/>
      <c r="F208" s="286"/>
      <c r="G208" s="286"/>
      <c r="H208" s="286"/>
    </row>
    <row r="209" spans="1:8" x14ac:dyDescent="0.5">
      <c r="A209" s="286"/>
      <c r="B209" s="286"/>
      <c r="C209" s="286"/>
      <c r="D209" s="286"/>
      <c r="E209" s="286"/>
      <c r="F209" s="286"/>
      <c r="G209" s="286"/>
      <c r="H209" s="286"/>
    </row>
    <row r="210" spans="1:8" x14ac:dyDescent="0.5">
      <c r="A210" s="286"/>
      <c r="B210" s="286"/>
      <c r="C210" s="286"/>
      <c r="D210" s="286"/>
      <c r="E210" s="286"/>
      <c r="F210" s="286"/>
      <c r="G210" s="286"/>
      <c r="H210" s="286"/>
    </row>
    <row r="211" spans="1:8" x14ac:dyDescent="0.5">
      <c r="A211" s="286"/>
      <c r="B211" s="286"/>
      <c r="C211" s="286"/>
      <c r="D211" s="286"/>
      <c r="E211" s="286"/>
      <c r="F211" s="286"/>
      <c r="G211" s="286"/>
      <c r="H211" s="286"/>
    </row>
    <row r="212" spans="1:8" x14ac:dyDescent="0.5">
      <c r="A212" s="286"/>
      <c r="B212" s="286"/>
      <c r="C212" s="286"/>
      <c r="D212" s="286"/>
      <c r="E212" s="286"/>
      <c r="F212" s="286"/>
      <c r="G212" s="286"/>
      <c r="H212" s="286"/>
    </row>
    <row r="213" spans="1:8" x14ac:dyDescent="0.5">
      <c r="A213" s="286"/>
      <c r="B213" s="286"/>
      <c r="C213" s="286"/>
      <c r="D213" s="286"/>
      <c r="E213" s="286"/>
      <c r="F213" s="286"/>
      <c r="G213" s="286"/>
      <c r="H213" s="286"/>
    </row>
    <row r="214" spans="1:8" x14ac:dyDescent="0.5">
      <c r="A214" s="286"/>
      <c r="B214" s="286"/>
      <c r="C214" s="286"/>
      <c r="D214" s="286"/>
      <c r="E214" s="286"/>
      <c r="F214" s="286"/>
      <c r="G214" s="286"/>
      <c r="H214" s="286"/>
    </row>
    <row r="215" spans="1:8" x14ac:dyDescent="0.5">
      <c r="A215" s="286"/>
      <c r="B215" s="286"/>
      <c r="C215" s="286"/>
      <c r="D215" s="286"/>
      <c r="E215" s="286"/>
      <c r="F215" s="286"/>
      <c r="G215" s="286"/>
      <c r="H215" s="286"/>
    </row>
    <row r="216" spans="1:8" x14ac:dyDescent="0.5">
      <c r="A216" s="286"/>
      <c r="B216" s="286"/>
      <c r="C216" s="286"/>
      <c r="D216" s="286"/>
      <c r="E216" s="286"/>
      <c r="F216" s="286"/>
      <c r="G216" s="286"/>
      <c r="H216" s="286"/>
    </row>
    <row r="217" spans="1:8" x14ac:dyDescent="0.5">
      <c r="A217" s="286"/>
      <c r="B217" s="286"/>
      <c r="C217" s="286"/>
      <c r="D217" s="286"/>
      <c r="E217" s="286"/>
      <c r="F217" s="286"/>
      <c r="G217" s="286"/>
      <c r="H217" s="286"/>
    </row>
    <row r="218" spans="1:8" x14ac:dyDescent="0.5">
      <c r="A218" s="286"/>
      <c r="B218" s="286"/>
      <c r="C218" s="286"/>
      <c r="D218" s="286"/>
      <c r="E218" s="286"/>
      <c r="F218" s="286"/>
      <c r="G218" s="286"/>
      <c r="H218" s="286"/>
    </row>
    <row r="219" spans="1:8" x14ac:dyDescent="0.5">
      <c r="A219" s="286"/>
      <c r="B219" s="286"/>
      <c r="C219" s="286"/>
      <c r="D219" s="286"/>
      <c r="E219" s="286"/>
      <c r="F219" s="286"/>
      <c r="G219" s="286"/>
      <c r="H219" s="286"/>
    </row>
    <row r="220" spans="1:8" x14ac:dyDescent="0.5">
      <c r="A220" s="286"/>
      <c r="B220" s="286"/>
      <c r="C220" s="286"/>
      <c r="D220" s="286"/>
      <c r="E220" s="286"/>
      <c r="F220" s="286"/>
      <c r="G220" s="286"/>
      <c r="H220" s="286"/>
    </row>
    <row r="221" spans="1:8" x14ac:dyDescent="0.5">
      <c r="A221" s="286"/>
      <c r="B221" s="286"/>
      <c r="C221" s="286"/>
      <c r="D221" s="286"/>
      <c r="E221" s="286"/>
      <c r="F221" s="286"/>
      <c r="G221" s="286"/>
      <c r="H221" s="286"/>
    </row>
    <row r="222" spans="1:8" x14ac:dyDescent="0.5">
      <c r="A222" s="286"/>
      <c r="B222" s="286"/>
      <c r="C222" s="286"/>
      <c r="D222" s="286"/>
      <c r="E222" s="286"/>
      <c r="F222" s="286"/>
      <c r="G222" s="286"/>
      <c r="H222" s="286"/>
    </row>
    <row r="223" spans="1:8" x14ac:dyDescent="0.5">
      <c r="A223" s="286"/>
      <c r="B223" s="286"/>
      <c r="C223" s="286"/>
      <c r="D223" s="286"/>
      <c r="E223" s="286"/>
      <c r="F223" s="286"/>
      <c r="G223" s="286"/>
      <c r="H223" s="286"/>
    </row>
    <row r="224" spans="1:8" x14ac:dyDescent="0.5">
      <c r="A224" s="286"/>
      <c r="B224" s="286"/>
      <c r="C224" s="286"/>
      <c r="D224" s="286"/>
      <c r="E224" s="286"/>
      <c r="F224" s="286"/>
      <c r="G224" s="286"/>
      <c r="H224" s="286"/>
    </row>
    <row r="225" spans="1:8" x14ac:dyDescent="0.5">
      <c r="A225" s="286"/>
      <c r="B225" s="286"/>
      <c r="C225" s="286"/>
      <c r="D225" s="286"/>
      <c r="E225" s="286"/>
      <c r="F225" s="286"/>
      <c r="G225" s="286"/>
      <c r="H225" s="286"/>
    </row>
    <row r="226" spans="1:8" x14ac:dyDescent="0.5">
      <c r="A226" s="286"/>
      <c r="B226" s="286"/>
      <c r="C226" s="286"/>
      <c r="D226" s="286"/>
      <c r="E226" s="286"/>
      <c r="F226" s="286"/>
      <c r="G226" s="286"/>
      <c r="H226" s="286"/>
    </row>
    <row r="227" spans="1:8" x14ac:dyDescent="0.5">
      <c r="A227" s="286"/>
      <c r="B227" s="286"/>
      <c r="C227" s="286"/>
      <c r="D227" s="286"/>
      <c r="E227" s="286"/>
      <c r="F227" s="286"/>
      <c r="G227" s="286"/>
      <c r="H227" s="286"/>
    </row>
    <row r="228" spans="1:8" x14ac:dyDescent="0.5">
      <c r="A228" s="286"/>
      <c r="B228" s="286"/>
      <c r="C228" s="286"/>
      <c r="D228" s="286"/>
      <c r="E228" s="286"/>
      <c r="F228" s="286"/>
      <c r="G228" s="286"/>
      <c r="H228" s="286"/>
    </row>
    <row r="229" spans="1:8" x14ac:dyDescent="0.5">
      <c r="A229" s="286"/>
      <c r="B229" s="286"/>
      <c r="C229" s="286"/>
      <c r="D229" s="286"/>
      <c r="E229" s="286"/>
      <c r="F229" s="286"/>
      <c r="G229" s="286"/>
      <c r="H229" s="286"/>
    </row>
    <row r="230" spans="1:8" x14ac:dyDescent="0.5">
      <c r="A230" s="286"/>
      <c r="B230" s="286"/>
      <c r="C230" s="286"/>
      <c r="D230" s="286"/>
      <c r="E230" s="286"/>
      <c r="F230" s="286"/>
      <c r="G230" s="286"/>
      <c r="H230" s="286"/>
    </row>
    <row r="231" spans="1:8" x14ac:dyDescent="0.5">
      <c r="A231" s="286"/>
      <c r="B231" s="286"/>
      <c r="C231" s="286"/>
      <c r="D231" s="286"/>
      <c r="E231" s="286"/>
      <c r="F231" s="286"/>
      <c r="G231" s="286"/>
      <c r="H231" s="286"/>
    </row>
    <row r="232" spans="1:8" x14ac:dyDescent="0.5">
      <c r="A232" s="286"/>
      <c r="B232" s="286"/>
      <c r="C232" s="286"/>
      <c r="D232" s="286"/>
      <c r="E232" s="286"/>
      <c r="F232" s="286"/>
      <c r="G232" s="286"/>
      <c r="H232" s="286"/>
    </row>
    <row r="233" spans="1:8" x14ac:dyDescent="0.5">
      <c r="A233" s="286"/>
      <c r="B233" s="286"/>
      <c r="C233" s="286"/>
      <c r="D233" s="286"/>
      <c r="E233" s="286"/>
      <c r="F233" s="286"/>
      <c r="G233" s="286"/>
      <c r="H233" s="286"/>
    </row>
    <row r="234" spans="1:8" x14ac:dyDescent="0.5">
      <c r="A234" s="286"/>
      <c r="B234" s="286"/>
      <c r="C234" s="286"/>
      <c r="D234" s="286"/>
      <c r="E234" s="286"/>
      <c r="F234" s="286"/>
      <c r="G234" s="286"/>
      <c r="H234" s="286"/>
    </row>
    <row r="235" spans="1:8" x14ac:dyDescent="0.5">
      <c r="A235" s="286"/>
      <c r="B235" s="286"/>
      <c r="C235" s="286"/>
      <c r="D235" s="286"/>
      <c r="E235" s="286"/>
      <c r="F235" s="286"/>
      <c r="G235" s="286"/>
      <c r="H235" s="286"/>
    </row>
    <row r="236" spans="1:8" x14ac:dyDescent="0.5">
      <c r="A236" s="286"/>
      <c r="B236" s="286"/>
      <c r="C236" s="286"/>
      <c r="D236" s="286"/>
      <c r="E236" s="286"/>
      <c r="F236" s="286"/>
      <c r="G236" s="286"/>
      <c r="H236" s="286"/>
    </row>
    <row r="237" spans="1:8" x14ac:dyDescent="0.5">
      <c r="A237" s="286"/>
      <c r="B237" s="286"/>
      <c r="C237" s="286"/>
      <c r="D237" s="286"/>
      <c r="E237" s="286"/>
      <c r="F237" s="286"/>
      <c r="G237" s="286"/>
      <c r="H237" s="286"/>
    </row>
    <row r="238" spans="1:8" x14ac:dyDescent="0.5">
      <c r="A238" s="286"/>
      <c r="B238" s="286"/>
      <c r="C238" s="286"/>
      <c r="D238" s="286"/>
      <c r="E238" s="286"/>
      <c r="F238" s="286"/>
      <c r="G238" s="286"/>
      <c r="H238" s="286"/>
    </row>
    <row r="239" spans="1:8" x14ac:dyDescent="0.5">
      <c r="A239" s="286"/>
      <c r="B239" s="286"/>
      <c r="C239" s="286"/>
      <c r="D239" s="286"/>
      <c r="E239" s="286"/>
      <c r="F239" s="286"/>
      <c r="G239" s="286"/>
      <c r="H239" s="286"/>
    </row>
    <row r="240" spans="1:8" x14ac:dyDescent="0.5">
      <c r="A240" s="286"/>
      <c r="B240" s="286"/>
      <c r="C240" s="286"/>
      <c r="D240" s="286"/>
      <c r="E240" s="286"/>
      <c r="F240" s="286"/>
      <c r="G240" s="286"/>
      <c r="H240" s="286"/>
    </row>
    <row r="241" spans="1:8" x14ac:dyDescent="0.5">
      <c r="A241" s="286"/>
      <c r="B241" s="286"/>
      <c r="C241" s="286"/>
      <c r="D241" s="286"/>
      <c r="E241" s="286"/>
      <c r="F241" s="286"/>
      <c r="G241" s="286"/>
      <c r="H241" s="286"/>
    </row>
    <row r="242" spans="1:8" x14ac:dyDescent="0.5">
      <c r="A242" s="286"/>
      <c r="B242" s="286"/>
      <c r="C242" s="286"/>
      <c r="D242" s="286"/>
      <c r="E242" s="286"/>
      <c r="F242" s="286"/>
      <c r="G242" s="286"/>
      <c r="H242" s="286"/>
    </row>
    <row r="243" spans="1:8" x14ac:dyDescent="0.5">
      <c r="A243" s="286"/>
      <c r="B243" s="286"/>
      <c r="C243" s="286"/>
      <c r="D243" s="286"/>
      <c r="E243" s="286"/>
      <c r="F243" s="286"/>
      <c r="G243" s="286"/>
      <c r="H243" s="286"/>
    </row>
    <row r="244" spans="1:8" x14ac:dyDescent="0.5">
      <c r="A244" s="286"/>
      <c r="B244" s="286"/>
      <c r="C244" s="286"/>
      <c r="D244" s="286"/>
      <c r="E244" s="286"/>
      <c r="F244" s="286"/>
      <c r="G244" s="286"/>
      <c r="H244" s="286"/>
    </row>
    <row r="245" spans="1:8" x14ac:dyDescent="0.5">
      <c r="A245" s="286"/>
      <c r="B245" s="286"/>
      <c r="C245" s="286"/>
      <c r="D245" s="286"/>
      <c r="E245" s="286"/>
      <c r="F245" s="286"/>
      <c r="G245" s="286"/>
      <c r="H245" s="286"/>
    </row>
    <row r="246" spans="1:8" x14ac:dyDescent="0.5">
      <c r="A246" s="286"/>
      <c r="B246" s="286"/>
      <c r="C246" s="286"/>
      <c r="D246" s="286"/>
      <c r="E246" s="286"/>
      <c r="F246" s="286"/>
      <c r="G246" s="286"/>
      <c r="H246" s="286"/>
    </row>
    <row r="247" spans="1:8" x14ac:dyDescent="0.5">
      <c r="A247" s="286"/>
      <c r="B247" s="286"/>
      <c r="C247" s="286"/>
      <c r="D247" s="286"/>
      <c r="E247" s="286"/>
      <c r="F247" s="286"/>
      <c r="G247" s="286"/>
      <c r="H247" s="286"/>
    </row>
    <row r="248" spans="1:8" x14ac:dyDescent="0.5">
      <c r="A248" s="286"/>
      <c r="B248" s="286"/>
      <c r="C248" s="286"/>
      <c r="D248" s="286"/>
      <c r="E248" s="286"/>
      <c r="F248" s="286"/>
      <c r="G248" s="286"/>
      <c r="H248" s="286"/>
    </row>
    <row r="249" spans="1:8" x14ac:dyDescent="0.5">
      <c r="A249" s="286"/>
      <c r="B249" s="286"/>
      <c r="C249" s="286"/>
      <c r="D249" s="286"/>
      <c r="E249" s="286"/>
      <c r="F249" s="286"/>
      <c r="G249" s="286"/>
      <c r="H249" s="286"/>
    </row>
    <row r="250" spans="1:8" x14ac:dyDescent="0.5">
      <c r="A250" s="286"/>
      <c r="B250" s="286"/>
      <c r="C250" s="286"/>
      <c r="D250" s="286"/>
      <c r="E250" s="286"/>
      <c r="F250" s="286"/>
      <c r="G250" s="286"/>
      <c r="H250" s="286"/>
    </row>
    <row r="251" spans="1:8" x14ac:dyDescent="0.5">
      <c r="A251" s="286"/>
      <c r="B251" s="286"/>
      <c r="C251" s="286"/>
      <c r="D251" s="286"/>
      <c r="E251" s="286"/>
      <c r="F251" s="286"/>
      <c r="G251" s="286"/>
      <c r="H251" s="286"/>
    </row>
    <row r="252" spans="1:8" x14ac:dyDescent="0.5">
      <c r="A252" s="286"/>
      <c r="B252" s="286"/>
      <c r="C252" s="286"/>
      <c r="D252" s="286"/>
      <c r="E252" s="286"/>
      <c r="F252" s="286"/>
      <c r="G252" s="286"/>
      <c r="H252" s="286"/>
    </row>
    <row r="253" spans="1:8" x14ac:dyDescent="0.5">
      <c r="A253" s="286"/>
      <c r="B253" s="286"/>
      <c r="C253" s="286"/>
      <c r="D253" s="286"/>
      <c r="E253" s="286"/>
      <c r="F253" s="286"/>
      <c r="G253" s="286"/>
      <c r="H253" s="286"/>
    </row>
    <row r="254" spans="1:8" x14ac:dyDescent="0.5">
      <c r="A254" s="286"/>
      <c r="B254" s="286"/>
      <c r="C254" s="286"/>
      <c r="D254" s="286"/>
      <c r="E254" s="286"/>
      <c r="F254" s="286"/>
      <c r="G254" s="286"/>
      <c r="H254" s="286"/>
    </row>
    <row r="255" spans="1:8" x14ac:dyDescent="0.5">
      <c r="A255" s="286"/>
      <c r="B255" s="286"/>
      <c r="C255" s="286"/>
      <c r="D255" s="286"/>
      <c r="E255" s="286"/>
      <c r="F255" s="286"/>
      <c r="G255" s="286"/>
      <c r="H255" s="286"/>
    </row>
    <row r="256" spans="1:8" x14ac:dyDescent="0.5">
      <c r="A256" s="286"/>
      <c r="B256" s="286"/>
      <c r="C256" s="286"/>
      <c r="D256" s="286"/>
      <c r="E256" s="286"/>
      <c r="F256" s="286"/>
      <c r="G256" s="286"/>
      <c r="H256" s="286"/>
    </row>
    <row r="257" spans="1:8" x14ac:dyDescent="0.5">
      <c r="A257" s="286"/>
      <c r="B257" s="286"/>
      <c r="C257" s="286"/>
      <c r="D257" s="286"/>
      <c r="E257" s="286"/>
      <c r="F257" s="286"/>
      <c r="G257" s="286"/>
      <c r="H257" s="286"/>
    </row>
    <row r="258" spans="1:8" x14ac:dyDescent="0.5">
      <c r="A258" s="286"/>
      <c r="B258" s="286"/>
      <c r="C258" s="286"/>
      <c r="D258" s="286"/>
      <c r="E258" s="286"/>
      <c r="F258" s="286"/>
      <c r="G258" s="286"/>
      <c r="H258" s="286"/>
    </row>
    <row r="259" spans="1:8" x14ac:dyDescent="0.5">
      <c r="A259" s="286"/>
      <c r="B259" s="286"/>
      <c r="C259" s="286"/>
      <c r="D259" s="286"/>
      <c r="E259" s="286"/>
      <c r="F259" s="286"/>
      <c r="G259" s="286"/>
      <c r="H259" s="286"/>
    </row>
    <row r="260" spans="1:8" x14ac:dyDescent="0.5">
      <c r="A260" s="286"/>
      <c r="B260" s="286"/>
      <c r="C260" s="286"/>
      <c r="D260" s="286"/>
      <c r="E260" s="286"/>
      <c r="F260" s="286"/>
      <c r="G260" s="286"/>
      <c r="H260" s="286"/>
    </row>
    <row r="261" spans="1:8" x14ac:dyDescent="0.5">
      <c r="A261" s="286"/>
      <c r="B261" s="286"/>
      <c r="C261" s="286"/>
      <c r="D261" s="286"/>
      <c r="E261" s="286"/>
      <c r="F261" s="286"/>
      <c r="G261" s="286"/>
      <c r="H261" s="286"/>
    </row>
    <row r="262" spans="1:8" x14ac:dyDescent="0.5">
      <c r="A262" s="286"/>
      <c r="B262" s="286"/>
      <c r="C262" s="286"/>
      <c r="D262" s="286"/>
      <c r="E262" s="286"/>
      <c r="F262" s="286"/>
      <c r="G262" s="286"/>
      <c r="H262" s="286"/>
    </row>
    <row r="263" spans="1:8" x14ac:dyDescent="0.5">
      <c r="A263" s="286"/>
      <c r="B263" s="286"/>
      <c r="C263" s="286"/>
      <c r="D263" s="286"/>
      <c r="E263" s="286"/>
      <c r="F263" s="286"/>
      <c r="G263" s="286"/>
      <c r="H263" s="286"/>
    </row>
    <row r="264" spans="1:8" x14ac:dyDescent="0.5">
      <c r="A264" s="286"/>
      <c r="B264" s="286"/>
      <c r="C264" s="286"/>
      <c r="D264" s="286"/>
      <c r="E264" s="286"/>
      <c r="F264" s="286"/>
      <c r="G264" s="286"/>
      <c r="H264" s="286"/>
    </row>
    <row r="265" spans="1:8" x14ac:dyDescent="0.5">
      <c r="A265" s="286"/>
      <c r="B265" s="286"/>
      <c r="C265" s="286"/>
      <c r="D265" s="286"/>
      <c r="E265" s="286"/>
      <c r="F265" s="286"/>
      <c r="G265" s="286"/>
      <c r="H265" s="286"/>
    </row>
    <row r="266" spans="1:8" x14ac:dyDescent="0.5">
      <c r="A266" s="286"/>
      <c r="B266" s="286"/>
      <c r="C266" s="286"/>
      <c r="D266" s="286"/>
      <c r="E266" s="286"/>
      <c r="F266" s="286"/>
      <c r="G266" s="286"/>
      <c r="H266" s="286"/>
    </row>
    <row r="267" spans="1:8" x14ac:dyDescent="0.5">
      <c r="A267" s="286"/>
      <c r="B267" s="286"/>
      <c r="C267" s="286"/>
      <c r="D267" s="286"/>
      <c r="E267" s="286"/>
      <c r="F267" s="286"/>
      <c r="G267" s="286"/>
      <c r="H267" s="286"/>
    </row>
    <row r="268" spans="1:8" x14ac:dyDescent="0.5">
      <c r="A268" s="286"/>
      <c r="B268" s="286"/>
      <c r="C268" s="286"/>
      <c r="D268" s="286"/>
      <c r="E268" s="286"/>
      <c r="F268" s="286"/>
      <c r="G268" s="286"/>
      <c r="H268" s="286"/>
    </row>
    <row r="269" spans="1:8" x14ac:dyDescent="0.5">
      <c r="A269" s="286"/>
      <c r="B269" s="286"/>
      <c r="C269" s="286"/>
      <c r="D269" s="286"/>
      <c r="E269" s="286"/>
      <c r="F269" s="286"/>
      <c r="G269" s="286"/>
      <c r="H269" s="286"/>
    </row>
    <row r="270" spans="1:8" x14ac:dyDescent="0.5">
      <c r="A270" s="286"/>
      <c r="B270" s="286"/>
      <c r="C270" s="286"/>
      <c r="D270" s="286"/>
      <c r="E270" s="286"/>
      <c r="F270" s="286"/>
      <c r="G270" s="286"/>
      <c r="H270" s="286"/>
    </row>
    <row r="271" spans="1:8" x14ac:dyDescent="0.5">
      <c r="A271" s="286"/>
      <c r="B271" s="286"/>
      <c r="C271" s="286"/>
      <c r="D271" s="286"/>
      <c r="E271" s="286"/>
      <c r="F271" s="286"/>
      <c r="G271" s="286"/>
      <c r="H271" s="286"/>
    </row>
    <row r="272" spans="1:8" x14ac:dyDescent="0.5">
      <c r="A272" s="286"/>
      <c r="B272" s="286"/>
      <c r="C272" s="286"/>
      <c r="D272" s="286"/>
      <c r="E272" s="286"/>
      <c r="F272" s="286"/>
      <c r="G272" s="286"/>
      <c r="H272" s="286"/>
    </row>
    <row r="273" spans="1:8" x14ac:dyDescent="0.5">
      <c r="A273" s="286"/>
      <c r="B273" s="286"/>
      <c r="C273" s="286"/>
      <c r="D273" s="286"/>
      <c r="E273" s="286"/>
      <c r="F273" s="286"/>
      <c r="G273" s="286"/>
      <c r="H273" s="286"/>
    </row>
    <row r="274" spans="1:8" x14ac:dyDescent="0.5">
      <c r="A274" s="286"/>
      <c r="B274" s="286"/>
      <c r="C274" s="286"/>
      <c r="D274" s="286"/>
      <c r="E274" s="286"/>
      <c r="F274" s="286"/>
      <c r="G274" s="286"/>
      <c r="H274" s="286"/>
    </row>
    <row r="275" spans="1:8" x14ac:dyDescent="0.5">
      <c r="A275" s="286"/>
      <c r="B275" s="286"/>
      <c r="C275" s="286"/>
      <c r="D275" s="286"/>
      <c r="E275" s="286"/>
      <c r="F275" s="286"/>
      <c r="G275" s="286"/>
      <c r="H275" s="286"/>
    </row>
    <row r="276" spans="1:8" x14ac:dyDescent="0.5">
      <c r="A276" s="286"/>
      <c r="B276" s="286"/>
      <c r="C276" s="286"/>
      <c r="D276" s="286"/>
      <c r="E276" s="286"/>
      <c r="F276" s="286"/>
      <c r="G276" s="286"/>
      <c r="H276" s="286"/>
    </row>
    <row r="277" spans="1:8" x14ac:dyDescent="0.5">
      <c r="A277" s="286"/>
      <c r="B277" s="286"/>
      <c r="C277" s="286"/>
      <c r="D277" s="286"/>
      <c r="E277" s="286"/>
      <c r="F277" s="286"/>
      <c r="G277" s="286"/>
      <c r="H277" s="286"/>
    </row>
    <row r="278" spans="1:8" x14ac:dyDescent="0.5">
      <c r="A278" s="286"/>
      <c r="B278" s="286"/>
      <c r="C278" s="286"/>
      <c r="D278" s="286"/>
      <c r="E278" s="286"/>
      <c r="F278" s="286"/>
      <c r="G278" s="286"/>
      <c r="H278" s="286"/>
    </row>
    <row r="279" spans="1:8" x14ac:dyDescent="0.5">
      <c r="A279" s="286"/>
      <c r="B279" s="286"/>
      <c r="C279" s="286"/>
      <c r="D279" s="286"/>
      <c r="E279" s="286"/>
      <c r="F279" s="286"/>
      <c r="G279" s="286"/>
      <c r="H279" s="286"/>
    </row>
    <row r="280" spans="1:8" x14ac:dyDescent="0.5">
      <c r="A280" s="286"/>
      <c r="B280" s="286"/>
      <c r="C280" s="286"/>
      <c r="D280" s="286"/>
      <c r="E280" s="286"/>
      <c r="F280" s="286"/>
      <c r="G280" s="286"/>
      <c r="H280" s="286"/>
    </row>
    <row r="281" spans="1:8" x14ac:dyDescent="0.5">
      <c r="A281" s="286"/>
      <c r="B281" s="286"/>
      <c r="C281" s="286"/>
      <c r="D281" s="286"/>
      <c r="E281" s="286"/>
      <c r="F281" s="286"/>
      <c r="G281" s="286"/>
      <c r="H281" s="286"/>
    </row>
    <row r="282" spans="1:8" x14ac:dyDescent="0.5">
      <c r="A282" s="286"/>
      <c r="B282" s="286"/>
      <c r="C282" s="286"/>
      <c r="D282" s="286"/>
      <c r="E282" s="286"/>
      <c r="F282" s="286"/>
      <c r="G282" s="286"/>
      <c r="H282" s="286"/>
    </row>
    <row r="283" spans="1:8" x14ac:dyDescent="0.5">
      <c r="A283" s="286"/>
      <c r="B283" s="286"/>
      <c r="C283" s="286"/>
      <c r="D283" s="286"/>
      <c r="E283" s="286"/>
      <c r="F283" s="286"/>
      <c r="G283" s="286"/>
      <c r="H283" s="286"/>
    </row>
    <row r="284" spans="1:8" x14ac:dyDescent="0.5">
      <c r="A284" s="286"/>
      <c r="B284" s="286"/>
      <c r="C284" s="286"/>
      <c r="D284" s="286"/>
      <c r="E284" s="286"/>
      <c r="F284" s="286"/>
      <c r="G284" s="286"/>
      <c r="H284" s="286"/>
    </row>
    <row r="285" spans="1:8" x14ac:dyDescent="0.5">
      <c r="A285" s="286"/>
      <c r="B285" s="286"/>
      <c r="C285" s="286"/>
      <c r="D285" s="286"/>
      <c r="E285" s="286"/>
      <c r="F285" s="286"/>
      <c r="G285" s="286"/>
      <c r="H285" s="286"/>
    </row>
    <row r="286" spans="1:8" x14ac:dyDescent="0.5">
      <c r="A286" s="286"/>
      <c r="B286" s="286"/>
      <c r="C286" s="286"/>
      <c r="D286" s="286"/>
      <c r="E286" s="286"/>
      <c r="F286" s="286"/>
      <c r="G286" s="286"/>
      <c r="H286" s="286"/>
    </row>
    <row r="287" spans="1:8" x14ac:dyDescent="0.5">
      <c r="A287" s="286"/>
      <c r="B287" s="286"/>
      <c r="C287" s="286"/>
      <c r="D287" s="286"/>
      <c r="E287" s="286"/>
      <c r="F287" s="286"/>
      <c r="G287" s="286"/>
      <c r="H287" s="286"/>
    </row>
    <row r="288" spans="1:8" x14ac:dyDescent="0.5">
      <c r="A288" s="286"/>
      <c r="B288" s="286"/>
      <c r="C288" s="286"/>
      <c r="D288" s="286"/>
      <c r="E288" s="286"/>
      <c r="F288" s="286"/>
      <c r="G288" s="286"/>
      <c r="H288" s="286"/>
    </row>
    <row r="289" spans="1:8" x14ac:dyDescent="0.5">
      <c r="A289" s="286"/>
      <c r="B289" s="286"/>
      <c r="C289" s="286"/>
      <c r="D289" s="286"/>
      <c r="E289" s="286"/>
      <c r="F289" s="286"/>
      <c r="G289" s="286"/>
      <c r="H289" s="286"/>
    </row>
    <row r="290" spans="1:8" x14ac:dyDescent="0.5">
      <c r="A290" s="286"/>
      <c r="B290" s="286"/>
      <c r="C290" s="286"/>
      <c r="D290" s="286"/>
      <c r="E290" s="286"/>
      <c r="F290" s="286"/>
      <c r="G290" s="286"/>
      <c r="H290" s="286"/>
    </row>
    <row r="291" spans="1:8" x14ac:dyDescent="0.5">
      <c r="A291" s="286"/>
      <c r="B291" s="286"/>
      <c r="C291" s="286"/>
      <c r="D291" s="286"/>
      <c r="E291" s="286"/>
      <c r="F291" s="286"/>
      <c r="G291" s="286"/>
      <c r="H291" s="286"/>
    </row>
    <row r="292" spans="1:8" x14ac:dyDescent="0.5">
      <c r="A292" s="286"/>
      <c r="B292" s="286"/>
      <c r="C292" s="286"/>
      <c r="D292" s="286"/>
      <c r="E292" s="286"/>
      <c r="F292" s="286"/>
      <c r="G292" s="286"/>
      <c r="H292" s="286"/>
    </row>
    <row r="293" spans="1:8" x14ac:dyDescent="0.5">
      <c r="A293" s="286"/>
      <c r="B293" s="286"/>
      <c r="C293" s="286"/>
      <c r="D293" s="286"/>
      <c r="E293" s="286"/>
      <c r="F293" s="286"/>
      <c r="G293" s="286"/>
      <c r="H293" s="286"/>
    </row>
    <row r="294" spans="1:8" x14ac:dyDescent="0.5">
      <c r="A294" s="286"/>
      <c r="B294" s="286"/>
      <c r="C294" s="286"/>
      <c r="D294" s="286"/>
      <c r="E294" s="286"/>
      <c r="F294" s="286"/>
      <c r="G294" s="286"/>
      <c r="H294" s="286"/>
    </row>
    <row r="295" spans="1:8" x14ac:dyDescent="0.5">
      <c r="A295" s="286"/>
      <c r="B295" s="286"/>
      <c r="C295" s="286"/>
      <c r="D295" s="286"/>
      <c r="E295" s="286"/>
      <c r="F295" s="286"/>
      <c r="G295" s="286"/>
      <c r="H295" s="286"/>
    </row>
    <row r="296" spans="1:8" x14ac:dyDescent="0.5">
      <c r="A296" s="286"/>
      <c r="B296" s="286"/>
      <c r="C296" s="286"/>
      <c r="D296" s="286"/>
      <c r="E296" s="286"/>
      <c r="F296" s="286"/>
      <c r="G296" s="286"/>
      <c r="H296" s="286"/>
    </row>
    <row r="297" spans="1:8" x14ac:dyDescent="0.5">
      <c r="A297" s="286"/>
      <c r="B297" s="286"/>
      <c r="C297" s="286"/>
      <c r="D297" s="286"/>
      <c r="E297" s="286"/>
      <c r="F297" s="286"/>
      <c r="G297" s="286"/>
      <c r="H297" s="286"/>
    </row>
    <row r="298" spans="1:8" x14ac:dyDescent="0.5">
      <c r="A298" s="286"/>
      <c r="B298" s="286"/>
      <c r="C298" s="286"/>
      <c r="D298" s="286"/>
      <c r="E298" s="286"/>
      <c r="F298" s="286"/>
      <c r="G298" s="286"/>
      <c r="H298" s="286"/>
    </row>
    <row r="299" spans="1:8" x14ac:dyDescent="0.5">
      <c r="A299" s="286"/>
      <c r="B299" s="286"/>
      <c r="C299" s="286"/>
      <c r="D299" s="286"/>
      <c r="E299" s="286"/>
      <c r="F299" s="286"/>
      <c r="G299" s="286"/>
      <c r="H299" s="286"/>
    </row>
    <row r="300" spans="1:8" x14ac:dyDescent="0.5">
      <c r="A300" s="286"/>
      <c r="B300" s="286"/>
      <c r="C300" s="286"/>
      <c r="D300" s="286"/>
      <c r="E300" s="286"/>
      <c r="F300" s="286"/>
      <c r="G300" s="286"/>
      <c r="H300" s="286"/>
    </row>
    <row r="301" spans="1:8" x14ac:dyDescent="0.5">
      <c r="A301" s="286"/>
      <c r="B301" s="286"/>
      <c r="C301" s="286"/>
      <c r="D301" s="286"/>
      <c r="E301" s="286"/>
      <c r="F301" s="286"/>
      <c r="G301" s="286"/>
      <c r="H301" s="286"/>
    </row>
    <row r="302" spans="1:8" x14ac:dyDescent="0.5">
      <c r="A302" s="286"/>
      <c r="B302" s="286"/>
      <c r="C302" s="286"/>
      <c r="D302" s="286"/>
      <c r="E302" s="286"/>
      <c r="F302" s="286"/>
      <c r="G302" s="286"/>
      <c r="H302" s="286"/>
    </row>
    <row r="303" spans="1:8" x14ac:dyDescent="0.5">
      <c r="A303" s="286"/>
      <c r="B303" s="286"/>
      <c r="C303" s="286"/>
      <c r="D303" s="286"/>
      <c r="E303" s="286"/>
      <c r="F303" s="286"/>
      <c r="G303" s="286"/>
      <c r="H303" s="286"/>
    </row>
    <row r="304" spans="1:8" x14ac:dyDescent="0.5">
      <c r="A304" s="286"/>
      <c r="B304" s="286"/>
      <c r="C304" s="286"/>
      <c r="D304" s="286"/>
      <c r="E304" s="286"/>
      <c r="F304" s="286"/>
      <c r="G304" s="286"/>
      <c r="H304" s="286"/>
    </row>
    <row r="305" spans="1:8" x14ac:dyDescent="0.5">
      <c r="A305" s="286"/>
      <c r="B305" s="286"/>
      <c r="C305" s="286"/>
      <c r="D305" s="286"/>
      <c r="E305" s="286"/>
      <c r="F305" s="286"/>
      <c r="G305" s="286"/>
      <c r="H305" s="286"/>
    </row>
    <row r="306" spans="1:8" x14ac:dyDescent="0.5">
      <c r="A306" s="286"/>
      <c r="B306" s="286"/>
      <c r="C306" s="286"/>
      <c r="D306" s="286"/>
      <c r="E306" s="286"/>
      <c r="F306" s="286"/>
      <c r="G306" s="286"/>
      <c r="H306" s="286"/>
    </row>
    <row r="307" spans="1:8" x14ac:dyDescent="0.5">
      <c r="A307" s="286"/>
      <c r="B307" s="286"/>
      <c r="C307" s="286"/>
      <c r="D307" s="286"/>
      <c r="E307" s="286"/>
      <c r="F307" s="286"/>
      <c r="G307" s="286"/>
      <c r="H307" s="286"/>
    </row>
    <row r="308" spans="1:8" x14ac:dyDescent="0.5">
      <c r="A308" s="286"/>
      <c r="B308" s="286"/>
      <c r="C308" s="286"/>
      <c r="D308" s="286"/>
      <c r="E308" s="286"/>
      <c r="F308" s="286"/>
      <c r="G308" s="286"/>
      <c r="H308" s="286"/>
    </row>
    <row r="309" spans="1:8" x14ac:dyDescent="0.5">
      <c r="A309" s="286"/>
      <c r="B309" s="286"/>
      <c r="C309" s="286"/>
      <c r="D309" s="286"/>
      <c r="E309" s="286"/>
      <c r="F309" s="286"/>
      <c r="G309" s="286"/>
      <c r="H309" s="286"/>
    </row>
    <row r="310" spans="1:8" x14ac:dyDescent="0.5">
      <c r="A310" s="286"/>
      <c r="B310" s="286"/>
      <c r="C310" s="286"/>
      <c r="D310" s="286"/>
      <c r="E310" s="286"/>
      <c r="F310" s="286"/>
      <c r="G310" s="286"/>
      <c r="H310" s="286"/>
    </row>
    <row r="311" spans="1:8" x14ac:dyDescent="0.5">
      <c r="A311" s="286"/>
      <c r="B311" s="286"/>
      <c r="C311" s="286"/>
      <c r="D311" s="286"/>
      <c r="E311" s="286"/>
      <c r="F311" s="286"/>
      <c r="G311" s="286"/>
      <c r="H311" s="286"/>
    </row>
    <row r="312" spans="1:8" x14ac:dyDescent="0.5">
      <c r="A312" s="286"/>
      <c r="B312" s="286"/>
      <c r="C312" s="286"/>
      <c r="D312" s="286"/>
      <c r="E312" s="286"/>
      <c r="F312" s="286"/>
      <c r="G312" s="286"/>
      <c r="H312" s="286"/>
    </row>
    <row r="313" spans="1:8" x14ac:dyDescent="0.5">
      <c r="A313" s="286"/>
      <c r="B313" s="286"/>
      <c r="C313" s="286"/>
      <c r="D313" s="286"/>
      <c r="E313" s="286"/>
      <c r="F313" s="286"/>
      <c r="G313" s="286"/>
      <c r="H313" s="286"/>
    </row>
    <row r="314" spans="1:8" x14ac:dyDescent="0.5">
      <c r="A314" s="286"/>
      <c r="B314" s="286"/>
      <c r="C314" s="286"/>
      <c r="D314" s="286"/>
      <c r="E314" s="286"/>
      <c r="F314" s="286"/>
      <c r="G314" s="286"/>
      <c r="H314" s="286"/>
    </row>
    <row r="315" spans="1:8" x14ac:dyDescent="0.5">
      <c r="A315" s="286"/>
      <c r="B315" s="286"/>
      <c r="C315" s="286"/>
      <c r="D315" s="286"/>
      <c r="E315" s="286"/>
      <c r="F315" s="286"/>
      <c r="G315" s="286"/>
      <c r="H315" s="286"/>
    </row>
    <row r="316" spans="1:8" x14ac:dyDescent="0.5">
      <c r="A316" s="286"/>
      <c r="B316" s="286"/>
      <c r="C316" s="286"/>
      <c r="D316" s="286"/>
      <c r="E316" s="286"/>
      <c r="F316" s="286"/>
      <c r="G316" s="286"/>
      <c r="H316" s="286"/>
    </row>
    <row r="317" spans="1:8" x14ac:dyDescent="0.5">
      <c r="A317" s="286"/>
      <c r="B317" s="286"/>
      <c r="C317" s="286"/>
      <c r="D317" s="286"/>
      <c r="E317" s="286"/>
      <c r="F317" s="286"/>
      <c r="G317" s="286"/>
      <c r="H317" s="286"/>
    </row>
    <row r="318" spans="1:8" x14ac:dyDescent="0.5">
      <c r="A318" s="286"/>
      <c r="B318" s="286"/>
      <c r="C318" s="286"/>
      <c r="D318" s="286"/>
      <c r="E318" s="286"/>
      <c r="F318" s="286"/>
      <c r="G318" s="286"/>
      <c r="H318" s="286"/>
    </row>
    <row r="319" spans="1:8" x14ac:dyDescent="0.5">
      <c r="A319" s="286"/>
      <c r="B319" s="286"/>
      <c r="C319" s="286"/>
      <c r="D319" s="286"/>
      <c r="E319" s="286"/>
      <c r="F319" s="286"/>
      <c r="G319" s="286"/>
      <c r="H319" s="286"/>
    </row>
    <row r="320" spans="1:8" x14ac:dyDescent="0.5">
      <c r="A320" s="286"/>
      <c r="B320" s="286"/>
      <c r="C320" s="286"/>
      <c r="D320" s="286"/>
      <c r="E320" s="286"/>
      <c r="F320" s="286"/>
      <c r="G320" s="286"/>
      <c r="H320" s="286"/>
    </row>
    <row r="321" spans="1:8" x14ac:dyDescent="0.5">
      <c r="A321" s="286"/>
      <c r="B321" s="286"/>
      <c r="C321" s="286"/>
      <c r="D321" s="286"/>
      <c r="E321" s="286"/>
      <c r="F321" s="286"/>
      <c r="G321" s="286"/>
      <c r="H321" s="286"/>
    </row>
    <row r="322" spans="1:8" x14ac:dyDescent="0.5">
      <c r="A322" s="286"/>
      <c r="B322" s="286"/>
      <c r="C322" s="286"/>
      <c r="D322" s="286"/>
      <c r="E322" s="286"/>
      <c r="F322" s="286"/>
      <c r="G322" s="286"/>
      <c r="H322" s="286"/>
    </row>
    <row r="323" spans="1:8" x14ac:dyDescent="0.5">
      <c r="A323" s="286"/>
      <c r="B323" s="286"/>
      <c r="C323" s="286"/>
      <c r="D323" s="286"/>
      <c r="E323" s="286"/>
      <c r="F323" s="286"/>
      <c r="G323" s="286"/>
      <c r="H323" s="286"/>
    </row>
    <row r="324" spans="1:8" x14ac:dyDescent="0.5">
      <c r="A324" s="286"/>
      <c r="B324" s="286"/>
      <c r="C324" s="286"/>
      <c r="D324" s="286"/>
      <c r="E324" s="286"/>
      <c r="F324" s="286"/>
      <c r="G324" s="286"/>
      <c r="H324" s="286"/>
    </row>
    <row r="325" spans="1:8" x14ac:dyDescent="0.5">
      <c r="A325" s="286"/>
      <c r="B325" s="286"/>
      <c r="C325" s="286"/>
      <c r="D325" s="286"/>
      <c r="E325" s="286"/>
      <c r="F325" s="286"/>
      <c r="G325" s="286"/>
      <c r="H325" s="286"/>
    </row>
    <row r="326" spans="1:8" x14ac:dyDescent="0.5">
      <c r="A326" s="286"/>
      <c r="B326" s="286"/>
      <c r="C326" s="286"/>
      <c r="D326" s="286"/>
      <c r="E326" s="286"/>
      <c r="F326" s="286"/>
      <c r="G326" s="286"/>
      <c r="H326" s="286"/>
    </row>
    <row r="327" spans="1:8" x14ac:dyDescent="0.5">
      <c r="A327" s="286"/>
      <c r="B327" s="286"/>
      <c r="C327" s="286"/>
      <c r="D327" s="286"/>
      <c r="E327" s="286"/>
      <c r="F327" s="286"/>
      <c r="G327" s="286"/>
      <c r="H327" s="286"/>
    </row>
    <row r="328" spans="1:8" x14ac:dyDescent="0.5">
      <c r="A328" s="286"/>
      <c r="B328" s="286"/>
      <c r="C328" s="286"/>
      <c r="D328" s="286"/>
      <c r="E328" s="286"/>
      <c r="F328" s="286"/>
      <c r="G328" s="286"/>
      <c r="H328" s="286"/>
    </row>
    <row r="329" spans="1:8" x14ac:dyDescent="0.5">
      <c r="A329" s="286"/>
      <c r="B329" s="286"/>
      <c r="C329" s="286"/>
      <c r="D329" s="286"/>
      <c r="E329" s="286"/>
      <c r="F329" s="286"/>
      <c r="G329" s="286"/>
      <c r="H329" s="286"/>
    </row>
    <row r="330" spans="1:8" x14ac:dyDescent="0.5">
      <c r="A330" s="286"/>
      <c r="B330" s="286"/>
      <c r="C330" s="286"/>
      <c r="D330" s="286"/>
      <c r="E330" s="286"/>
      <c r="F330" s="286"/>
      <c r="G330" s="286"/>
      <c r="H330" s="286"/>
    </row>
    <row r="331" spans="1:8" x14ac:dyDescent="0.5">
      <c r="A331" s="286"/>
      <c r="B331" s="286"/>
      <c r="C331" s="286"/>
      <c r="D331" s="286"/>
      <c r="E331" s="286"/>
      <c r="F331" s="286"/>
      <c r="G331" s="286"/>
      <c r="H331" s="286"/>
    </row>
    <row r="332" spans="1:8" x14ac:dyDescent="0.5">
      <c r="A332" s="286"/>
      <c r="B332" s="286"/>
      <c r="C332" s="286"/>
      <c r="D332" s="286"/>
      <c r="E332" s="286"/>
      <c r="F332" s="286"/>
      <c r="G332" s="286"/>
      <c r="H332" s="286"/>
    </row>
    <row r="333" spans="1:8" x14ac:dyDescent="0.5">
      <c r="A333" s="286"/>
      <c r="B333" s="286"/>
      <c r="C333" s="286"/>
      <c r="D333" s="286"/>
      <c r="E333" s="286"/>
      <c r="F333" s="286"/>
      <c r="G333" s="286"/>
      <c r="H333" s="286"/>
    </row>
    <row r="334" spans="1:8" x14ac:dyDescent="0.5">
      <c r="A334" s="286"/>
      <c r="B334" s="286"/>
      <c r="C334" s="286"/>
      <c r="D334" s="286"/>
      <c r="E334" s="286"/>
      <c r="F334" s="286"/>
      <c r="G334" s="286"/>
      <c r="H334" s="286"/>
    </row>
    <row r="335" spans="1:8" x14ac:dyDescent="0.5">
      <c r="A335" s="286"/>
      <c r="B335" s="286"/>
      <c r="C335" s="286"/>
      <c r="D335" s="286"/>
      <c r="E335" s="286"/>
      <c r="F335" s="286"/>
      <c r="G335" s="286"/>
      <c r="H335" s="286"/>
    </row>
    <row r="336" spans="1:8" x14ac:dyDescent="0.5">
      <c r="A336" s="286"/>
      <c r="B336" s="286"/>
      <c r="C336" s="286"/>
      <c r="D336" s="286"/>
      <c r="E336" s="286"/>
      <c r="F336" s="286"/>
      <c r="G336" s="286"/>
      <c r="H336" s="286"/>
    </row>
    <row r="337" spans="1:8" x14ac:dyDescent="0.5">
      <c r="A337" s="286"/>
      <c r="B337" s="286"/>
      <c r="C337" s="286"/>
      <c r="D337" s="286"/>
      <c r="E337" s="286"/>
      <c r="F337" s="286"/>
      <c r="G337" s="286"/>
      <c r="H337" s="286"/>
    </row>
    <row r="338" spans="1:8" x14ac:dyDescent="0.5">
      <c r="A338" s="286"/>
      <c r="B338" s="286"/>
      <c r="C338" s="286"/>
      <c r="D338" s="286"/>
      <c r="E338" s="286"/>
      <c r="F338" s="286"/>
      <c r="G338" s="286"/>
      <c r="H338" s="286"/>
    </row>
    <row r="339" spans="1:8" x14ac:dyDescent="0.5">
      <c r="A339" s="286"/>
      <c r="B339" s="286"/>
      <c r="C339" s="286"/>
      <c r="D339" s="286"/>
      <c r="E339" s="286"/>
      <c r="F339" s="286"/>
      <c r="G339" s="286"/>
      <c r="H339" s="286"/>
    </row>
    <row r="340" spans="1:8" x14ac:dyDescent="0.5">
      <c r="A340" s="286"/>
      <c r="B340" s="286"/>
      <c r="C340" s="286"/>
      <c r="D340" s="286"/>
      <c r="E340" s="286"/>
      <c r="F340" s="286"/>
      <c r="G340" s="286"/>
      <c r="H340" s="286"/>
    </row>
    <row r="341" spans="1:8" x14ac:dyDescent="0.5">
      <c r="A341" s="286"/>
      <c r="B341" s="286"/>
      <c r="C341" s="286"/>
      <c r="D341" s="286"/>
      <c r="E341" s="286"/>
      <c r="F341" s="286"/>
      <c r="G341" s="286"/>
      <c r="H341" s="286"/>
    </row>
    <row r="342" spans="1:8" x14ac:dyDescent="0.5">
      <c r="A342" s="286"/>
      <c r="B342" s="286"/>
      <c r="C342" s="286"/>
      <c r="D342" s="286"/>
      <c r="E342" s="286"/>
      <c r="F342" s="286"/>
      <c r="G342" s="286"/>
      <c r="H342" s="286"/>
    </row>
    <row r="343" spans="1:8" x14ac:dyDescent="0.5">
      <c r="A343" s="286"/>
      <c r="B343" s="286"/>
      <c r="C343" s="286"/>
      <c r="D343" s="286"/>
      <c r="E343" s="286"/>
      <c r="F343" s="286"/>
      <c r="G343" s="286"/>
      <c r="H343" s="286"/>
    </row>
    <row r="344" spans="1:8" x14ac:dyDescent="0.5">
      <c r="A344" s="286"/>
      <c r="B344" s="286"/>
      <c r="C344" s="286"/>
      <c r="D344" s="286"/>
      <c r="E344" s="286"/>
      <c r="F344" s="286"/>
      <c r="G344" s="286"/>
      <c r="H344" s="286"/>
    </row>
    <row r="345" spans="1:8" x14ac:dyDescent="0.5">
      <c r="A345" s="286"/>
      <c r="B345" s="286"/>
      <c r="C345" s="286"/>
      <c r="D345" s="286"/>
      <c r="E345" s="286"/>
      <c r="F345" s="286"/>
      <c r="G345" s="286"/>
      <c r="H345" s="286"/>
    </row>
    <row r="346" spans="1:8" x14ac:dyDescent="0.5">
      <c r="A346" s="286"/>
      <c r="B346" s="286"/>
      <c r="C346" s="286"/>
      <c r="D346" s="286"/>
      <c r="E346" s="286"/>
      <c r="F346" s="286"/>
      <c r="G346" s="286"/>
      <c r="H346" s="286"/>
    </row>
    <row r="347" spans="1:8" x14ac:dyDescent="0.5">
      <c r="A347" s="286"/>
      <c r="B347" s="286"/>
      <c r="C347" s="286"/>
      <c r="D347" s="286"/>
      <c r="E347" s="286"/>
      <c r="F347" s="286"/>
      <c r="G347" s="286"/>
      <c r="H347" s="286"/>
    </row>
    <row r="348" spans="1:8" x14ac:dyDescent="0.5">
      <c r="A348" s="286"/>
      <c r="B348" s="286"/>
      <c r="C348" s="286"/>
      <c r="D348" s="286"/>
      <c r="E348" s="286"/>
      <c r="F348" s="286"/>
      <c r="G348" s="286"/>
      <c r="H348" s="286"/>
    </row>
    <row r="349" spans="1:8" x14ac:dyDescent="0.5">
      <c r="A349" s="286"/>
      <c r="B349" s="286"/>
      <c r="C349" s="286"/>
      <c r="D349" s="286"/>
      <c r="E349" s="286"/>
      <c r="F349" s="286"/>
      <c r="G349" s="286"/>
      <c r="H349" s="286"/>
    </row>
    <row r="350" spans="1:8" x14ac:dyDescent="0.5">
      <c r="A350" s="286"/>
      <c r="B350" s="286"/>
      <c r="C350" s="286"/>
      <c r="D350" s="286"/>
      <c r="E350" s="286"/>
      <c r="F350" s="286"/>
      <c r="G350" s="286"/>
      <c r="H350" s="286"/>
    </row>
    <row r="351" spans="1:8" x14ac:dyDescent="0.5">
      <c r="A351" s="286"/>
      <c r="B351" s="286"/>
      <c r="C351" s="286"/>
      <c r="D351" s="286"/>
      <c r="E351" s="286"/>
      <c r="F351" s="286"/>
      <c r="G351" s="286"/>
      <c r="H351" s="286"/>
    </row>
    <row r="352" spans="1:8" x14ac:dyDescent="0.5">
      <c r="A352" s="286"/>
      <c r="B352" s="286"/>
      <c r="C352" s="286"/>
      <c r="D352" s="286"/>
      <c r="E352" s="286"/>
      <c r="F352" s="286"/>
      <c r="G352" s="286"/>
      <c r="H352" s="286"/>
    </row>
    <row r="353" spans="1:8" x14ac:dyDescent="0.5">
      <c r="A353" s="286"/>
      <c r="B353" s="286"/>
      <c r="C353" s="286"/>
      <c r="D353" s="286"/>
      <c r="E353" s="286"/>
      <c r="F353" s="286"/>
      <c r="G353" s="286"/>
      <c r="H353" s="286"/>
    </row>
    <row r="354" spans="1:8" x14ac:dyDescent="0.5">
      <c r="A354" s="286"/>
      <c r="B354" s="286"/>
      <c r="C354" s="286"/>
      <c r="D354" s="286"/>
      <c r="E354" s="286"/>
      <c r="F354" s="286"/>
      <c r="G354" s="286"/>
      <c r="H354" s="286"/>
    </row>
    <row r="355" spans="1:8" x14ac:dyDescent="0.5">
      <c r="A355" s="286"/>
      <c r="B355" s="286"/>
      <c r="C355" s="286"/>
      <c r="D355" s="286"/>
      <c r="E355" s="286"/>
      <c r="F355" s="286"/>
      <c r="G355" s="286"/>
      <c r="H355" s="286"/>
    </row>
    <row r="356" spans="1:8" x14ac:dyDescent="0.5">
      <c r="A356" s="286"/>
      <c r="B356" s="286"/>
      <c r="C356" s="286"/>
      <c r="D356" s="286"/>
      <c r="E356" s="286"/>
      <c r="F356" s="286"/>
      <c r="G356" s="286"/>
      <c r="H356" s="286"/>
    </row>
    <row r="357" spans="1:8" x14ac:dyDescent="0.5">
      <c r="A357" s="286"/>
      <c r="B357" s="286"/>
      <c r="C357" s="286"/>
      <c r="D357" s="286"/>
      <c r="E357" s="286"/>
      <c r="F357" s="286"/>
      <c r="G357" s="286"/>
      <c r="H357" s="286"/>
    </row>
    <row r="358" spans="1:8" x14ac:dyDescent="0.5">
      <c r="A358" s="286"/>
      <c r="B358" s="286"/>
      <c r="C358" s="286"/>
      <c r="D358" s="286"/>
      <c r="E358" s="286"/>
      <c r="F358" s="286"/>
      <c r="G358" s="286"/>
      <c r="H358" s="286"/>
    </row>
    <row r="359" spans="1:8" x14ac:dyDescent="0.5">
      <c r="A359" s="286"/>
      <c r="B359" s="286"/>
      <c r="C359" s="286"/>
      <c r="D359" s="286"/>
      <c r="E359" s="286"/>
      <c r="F359" s="286"/>
      <c r="G359" s="286"/>
      <c r="H359" s="286"/>
    </row>
    <row r="360" spans="1:8" x14ac:dyDescent="0.5">
      <c r="A360" s="286"/>
      <c r="B360" s="286"/>
      <c r="C360" s="286"/>
      <c r="D360" s="286"/>
      <c r="E360" s="286"/>
      <c r="F360" s="286"/>
      <c r="G360" s="286"/>
      <c r="H360" s="286"/>
    </row>
    <row r="361" spans="1:8" x14ac:dyDescent="0.5">
      <c r="A361" s="286"/>
      <c r="B361" s="286"/>
      <c r="C361" s="286"/>
      <c r="D361" s="286"/>
      <c r="E361" s="286"/>
      <c r="F361" s="286"/>
      <c r="G361" s="286"/>
      <c r="H361" s="286"/>
    </row>
    <row r="362" spans="1:8" x14ac:dyDescent="0.5">
      <c r="A362" s="286"/>
      <c r="B362" s="286"/>
      <c r="C362" s="286"/>
      <c r="D362" s="286"/>
      <c r="E362" s="286"/>
      <c r="F362" s="286"/>
      <c r="G362" s="286"/>
      <c r="H362" s="286"/>
    </row>
    <row r="363" spans="1:8" x14ac:dyDescent="0.5">
      <c r="A363" s="286"/>
      <c r="B363" s="286"/>
      <c r="C363" s="286"/>
      <c r="D363" s="286"/>
      <c r="E363" s="286"/>
      <c r="F363" s="286"/>
      <c r="G363" s="286"/>
      <c r="H363" s="286"/>
    </row>
    <row r="364" spans="1:8" x14ac:dyDescent="0.5">
      <c r="A364" s="286"/>
      <c r="B364" s="286"/>
      <c r="C364" s="286"/>
      <c r="D364" s="286"/>
      <c r="E364" s="286"/>
      <c r="F364" s="286"/>
      <c r="G364" s="286"/>
      <c r="H364" s="286"/>
    </row>
    <row r="365" spans="1:8" x14ac:dyDescent="0.5">
      <c r="A365" s="286"/>
      <c r="B365" s="286"/>
      <c r="C365" s="286"/>
      <c r="D365" s="286"/>
      <c r="E365" s="286"/>
      <c r="F365" s="286"/>
      <c r="G365" s="286"/>
      <c r="H365" s="286"/>
    </row>
    <row r="366" spans="1:8" x14ac:dyDescent="0.5">
      <c r="A366" s="286"/>
      <c r="B366" s="286"/>
      <c r="C366" s="286"/>
      <c r="D366" s="286"/>
      <c r="E366" s="286"/>
      <c r="F366" s="286"/>
      <c r="G366" s="286"/>
      <c r="H366" s="286"/>
    </row>
    <row r="367" spans="1:8" x14ac:dyDescent="0.5">
      <c r="A367" s="286"/>
      <c r="B367" s="286"/>
      <c r="C367" s="286"/>
      <c r="D367" s="286"/>
      <c r="E367" s="286"/>
      <c r="F367" s="286"/>
      <c r="G367" s="286"/>
      <c r="H367" s="286"/>
    </row>
    <row r="368" spans="1:8" x14ac:dyDescent="0.5">
      <c r="A368" s="286"/>
      <c r="B368" s="286"/>
      <c r="C368" s="286"/>
      <c r="D368" s="286"/>
      <c r="E368" s="286"/>
      <c r="F368" s="286"/>
      <c r="G368" s="286"/>
      <c r="H368" s="286"/>
    </row>
    <row r="369" spans="1:8" x14ac:dyDescent="0.5">
      <c r="A369" s="286"/>
      <c r="B369" s="286"/>
      <c r="C369" s="286"/>
      <c r="D369" s="286"/>
      <c r="E369" s="286"/>
      <c r="F369" s="286"/>
      <c r="G369" s="286"/>
      <c r="H369" s="286"/>
    </row>
    <row r="370" spans="1:8" x14ac:dyDescent="0.5">
      <c r="A370" s="286"/>
      <c r="B370" s="286"/>
      <c r="C370" s="286"/>
      <c r="D370" s="286"/>
      <c r="E370" s="286"/>
      <c r="F370" s="286"/>
      <c r="G370" s="286"/>
      <c r="H370" s="286"/>
    </row>
    <row r="371" spans="1:8" x14ac:dyDescent="0.5">
      <c r="A371" s="286"/>
      <c r="B371" s="286"/>
      <c r="C371" s="286"/>
      <c r="D371" s="286"/>
      <c r="E371" s="286"/>
      <c r="F371" s="286"/>
      <c r="G371" s="286"/>
      <c r="H371" s="286"/>
    </row>
    <row r="372" spans="1:8" x14ac:dyDescent="0.5">
      <c r="A372" s="286"/>
      <c r="B372" s="286"/>
      <c r="C372" s="286"/>
      <c r="D372" s="286"/>
      <c r="E372" s="286"/>
      <c r="F372" s="286"/>
      <c r="G372" s="286"/>
      <c r="H372" s="286"/>
    </row>
    <row r="373" spans="1:8" x14ac:dyDescent="0.5">
      <c r="A373" s="286"/>
      <c r="B373" s="286"/>
      <c r="C373" s="286"/>
      <c r="D373" s="286"/>
      <c r="E373" s="286"/>
      <c r="F373" s="286"/>
      <c r="G373" s="286"/>
      <c r="H373" s="286"/>
    </row>
    <row r="374" spans="1:8" x14ac:dyDescent="0.5">
      <c r="A374" s="286"/>
      <c r="B374" s="286"/>
      <c r="C374" s="286"/>
      <c r="D374" s="286"/>
      <c r="E374" s="286"/>
      <c r="F374" s="286"/>
      <c r="G374" s="286"/>
      <c r="H374" s="286"/>
    </row>
    <row r="375" spans="1:8" x14ac:dyDescent="0.5">
      <c r="A375" s="286"/>
      <c r="B375" s="286"/>
      <c r="C375" s="286"/>
      <c r="D375" s="286"/>
      <c r="E375" s="286"/>
      <c r="F375" s="286"/>
      <c r="G375" s="286"/>
      <c r="H375" s="286"/>
    </row>
    <row r="376" spans="1:8" x14ac:dyDescent="0.5">
      <c r="A376" s="286"/>
      <c r="B376" s="286"/>
      <c r="C376" s="286"/>
      <c r="D376" s="286"/>
      <c r="E376" s="286"/>
      <c r="F376" s="286"/>
      <c r="G376" s="286"/>
      <c r="H376" s="286"/>
    </row>
    <row r="377" spans="1:8" x14ac:dyDescent="0.5">
      <c r="A377" s="286"/>
      <c r="B377" s="286"/>
      <c r="C377" s="286"/>
      <c r="D377" s="286"/>
      <c r="E377" s="286"/>
      <c r="F377" s="286"/>
      <c r="G377" s="286"/>
      <c r="H377" s="286"/>
    </row>
    <row r="378" spans="1:8" x14ac:dyDescent="0.5">
      <c r="A378" s="286"/>
      <c r="B378" s="286"/>
      <c r="C378" s="286"/>
      <c r="D378" s="286"/>
      <c r="E378" s="286"/>
      <c r="F378" s="286"/>
      <c r="G378" s="286"/>
      <c r="H378" s="286"/>
    </row>
    <row r="379" spans="1:8" x14ac:dyDescent="0.5">
      <c r="A379" s="286"/>
      <c r="B379" s="286"/>
      <c r="C379" s="286"/>
      <c r="D379" s="286"/>
      <c r="E379" s="286"/>
      <c r="F379" s="286"/>
      <c r="G379" s="286"/>
      <c r="H379" s="286"/>
    </row>
    <row r="380" spans="1:8" x14ac:dyDescent="0.5">
      <c r="A380" s="286"/>
      <c r="B380" s="286"/>
      <c r="C380" s="286"/>
      <c r="D380" s="286"/>
      <c r="E380" s="286"/>
      <c r="F380" s="286"/>
      <c r="G380" s="286"/>
      <c r="H380" s="286"/>
    </row>
    <row r="381" spans="1:8" x14ac:dyDescent="0.5">
      <c r="A381" s="286"/>
      <c r="B381" s="286"/>
      <c r="C381" s="286"/>
      <c r="D381" s="286"/>
      <c r="E381" s="286"/>
      <c r="F381" s="286"/>
      <c r="G381" s="286"/>
      <c r="H381" s="286"/>
    </row>
    <row r="382" spans="1:8" x14ac:dyDescent="0.5">
      <c r="A382" s="286"/>
      <c r="B382" s="286"/>
      <c r="C382" s="286"/>
      <c r="D382" s="286"/>
      <c r="E382" s="286"/>
      <c r="F382" s="286"/>
      <c r="G382" s="286"/>
      <c r="H382" s="286"/>
    </row>
    <row r="383" spans="1:8" x14ac:dyDescent="0.5">
      <c r="A383" s="286"/>
      <c r="B383" s="286"/>
      <c r="C383" s="286"/>
      <c r="D383" s="286"/>
      <c r="E383" s="286"/>
      <c r="F383" s="286"/>
      <c r="G383" s="286"/>
      <c r="H383" s="286"/>
    </row>
    <row r="384" spans="1:8" x14ac:dyDescent="0.5">
      <c r="A384" s="286"/>
      <c r="B384" s="286"/>
      <c r="C384" s="286"/>
      <c r="D384" s="286"/>
      <c r="E384" s="286"/>
      <c r="F384" s="286"/>
      <c r="G384" s="286"/>
      <c r="H384" s="286"/>
    </row>
    <row r="385" spans="1:8" x14ac:dyDescent="0.5">
      <c r="A385" s="286"/>
      <c r="B385" s="286"/>
      <c r="C385" s="286"/>
      <c r="D385" s="286"/>
      <c r="E385" s="286"/>
      <c r="F385" s="286"/>
      <c r="G385" s="286"/>
      <c r="H385" s="286"/>
    </row>
    <row r="386" spans="1:8" x14ac:dyDescent="0.5">
      <c r="A386" s="286"/>
      <c r="B386" s="286"/>
      <c r="C386" s="286"/>
      <c r="D386" s="286"/>
      <c r="E386" s="286"/>
      <c r="F386" s="286"/>
      <c r="G386" s="286"/>
      <c r="H386" s="286"/>
    </row>
    <row r="387" spans="1:8" x14ac:dyDescent="0.5">
      <c r="A387" s="286"/>
      <c r="B387" s="286"/>
      <c r="C387" s="286"/>
      <c r="D387" s="286"/>
      <c r="E387" s="286"/>
      <c r="F387" s="286"/>
      <c r="G387" s="286"/>
      <c r="H387" s="286"/>
    </row>
    <row r="388" spans="1:8" x14ac:dyDescent="0.5">
      <c r="A388" s="286"/>
      <c r="B388" s="286"/>
      <c r="C388" s="286"/>
      <c r="D388" s="286"/>
      <c r="E388" s="286"/>
      <c r="F388" s="286"/>
      <c r="G388" s="286"/>
      <c r="H388" s="286"/>
    </row>
    <row r="389" spans="1:8" x14ac:dyDescent="0.5">
      <c r="A389" s="286"/>
      <c r="B389" s="286"/>
      <c r="C389" s="286"/>
      <c r="D389" s="286"/>
      <c r="E389" s="286"/>
      <c r="F389" s="286"/>
      <c r="G389" s="286"/>
      <c r="H389" s="286"/>
    </row>
    <row r="390" spans="1:8" x14ac:dyDescent="0.5">
      <c r="A390" s="286"/>
      <c r="B390" s="286"/>
      <c r="C390" s="286"/>
      <c r="D390" s="286"/>
      <c r="E390" s="286"/>
      <c r="F390" s="286"/>
      <c r="G390" s="286"/>
      <c r="H390" s="286"/>
    </row>
    <row r="391" spans="1:8" x14ac:dyDescent="0.5">
      <c r="A391" s="286"/>
      <c r="B391" s="286"/>
      <c r="C391" s="286"/>
      <c r="D391" s="286"/>
      <c r="E391" s="286"/>
      <c r="F391" s="286"/>
      <c r="G391" s="286"/>
      <c r="H391" s="286"/>
    </row>
    <row r="392" spans="1:8" x14ac:dyDescent="0.5">
      <c r="A392" s="286"/>
      <c r="B392" s="286"/>
      <c r="C392" s="286"/>
      <c r="D392" s="286"/>
      <c r="E392" s="286"/>
      <c r="F392" s="286"/>
      <c r="G392" s="286"/>
      <c r="H392" s="286"/>
    </row>
    <row r="393" spans="1:8" x14ac:dyDescent="0.5">
      <c r="A393" s="286"/>
      <c r="B393" s="286"/>
      <c r="C393" s="286"/>
      <c r="D393" s="286"/>
      <c r="E393" s="286"/>
      <c r="F393" s="286"/>
      <c r="G393" s="286"/>
      <c r="H393" s="286"/>
    </row>
    <row r="394" spans="1:8" x14ac:dyDescent="0.5">
      <c r="A394" s="286"/>
      <c r="B394" s="286"/>
      <c r="C394" s="286"/>
      <c r="D394" s="286"/>
      <c r="E394" s="286"/>
      <c r="F394" s="286"/>
      <c r="G394" s="286"/>
      <c r="H394" s="286"/>
    </row>
    <row r="395" spans="1:8" x14ac:dyDescent="0.5">
      <c r="A395" s="286"/>
      <c r="B395" s="286"/>
      <c r="C395" s="286"/>
      <c r="D395" s="286"/>
      <c r="E395" s="286"/>
      <c r="F395" s="286"/>
      <c r="G395" s="286"/>
      <c r="H395" s="286"/>
    </row>
    <row r="396" spans="1:8" x14ac:dyDescent="0.5">
      <c r="A396" s="286"/>
      <c r="B396" s="286"/>
      <c r="C396" s="286"/>
      <c r="D396" s="286"/>
      <c r="E396" s="286"/>
      <c r="F396" s="286"/>
      <c r="G396" s="286"/>
      <c r="H396" s="286"/>
    </row>
    <row r="397" spans="1:8" x14ac:dyDescent="0.5">
      <c r="A397" s="286"/>
      <c r="B397" s="286"/>
      <c r="C397" s="286"/>
      <c r="D397" s="286"/>
      <c r="E397" s="286"/>
      <c r="F397" s="286"/>
      <c r="G397" s="286"/>
      <c r="H397" s="286"/>
    </row>
    <row r="398" spans="1:8" x14ac:dyDescent="0.5">
      <c r="A398" s="286"/>
      <c r="B398" s="286"/>
      <c r="C398" s="286"/>
      <c r="D398" s="286"/>
      <c r="E398" s="286"/>
      <c r="F398" s="286"/>
      <c r="G398" s="286"/>
      <c r="H398" s="286"/>
    </row>
    <row r="399" spans="1:8" x14ac:dyDescent="0.5">
      <c r="A399" s="286"/>
      <c r="B399" s="286"/>
      <c r="C399" s="286"/>
      <c r="D399" s="286"/>
      <c r="E399" s="286"/>
      <c r="F399" s="286"/>
      <c r="G399" s="286"/>
      <c r="H399" s="286"/>
    </row>
    <row r="400" spans="1:8" x14ac:dyDescent="0.5">
      <c r="A400" s="286"/>
      <c r="B400" s="286"/>
      <c r="C400" s="286"/>
      <c r="D400" s="286"/>
      <c r="E400" s="286"/>
      <c r="F400" s="286"/>
      <c r="G400" s="286"/>
      <c r="H400" s="286"/>
    </row>
    <row r="401" spans="1:12" x14ac:dyDescent="0.5">
      <c r="A401" s="286"/>
      <c r="B401" s="286"/>
      <c r="C401" s="286"/>
      <c r="D401" s="286"/>
      <c r="E401" s="286"/>
      <c r="F401" s="286"/>
      <c r="G401" s="286"/>
      <c r="H401" s="286"/>
    </row>
    <row r="402" spans="1:12" x14ac:dyDescent="0.5">
      <c r="A402" s="286"/>
      <c r="B402" s="286"/>
      <c r="C402" s="286"/>
      <c r="D402" s="286"/>
      <c r="E402" s="286"/>
      <c r="F402" s="286"/>
      <c r="G402" s="286"/>
      <c r="H402" s="286"/>
    </row>
    <row r="403" spans="1:12" x14ac:dyDescent="0.5">
      <c r="A403" s="286"/>
      <c r="B403" s="286"/>
      <c r="C403" s="286"/>
      <c r="D403" s="286"/>
      <c r="E403" s="286"/>
      <c r="F403" s="286"/>
      <c r="G403" s="286"/>
      <c r="H403" s="286"/>
    </row>
    <row r="404" spans="1:12" x14ac:dyDescent="0.5">
      <c r="A404" s="286"/>
      <c r="B404" s="286"/>
      <c r="C404" s="286"/>
      <c r="D404" s="286"/>
      <c r="E404" s="286"/>
      <c r="F404" s="286"/>
      <c r="G404" s="286"/>
      <c r="H404" s="286"/>
    </row>
    <row r="405" spans="1:12" x14ac:dyDescent="0.5">
      <c r="A405" s="286"/>
      <c r="B405" s="286"/>
      <c r="C405" s="286"/>
      <c r="D405" s="286"/>
      <c r="E405" s="286"/>
      <c r="F405" s="286"/>
      <c r="G405" s="286"/>
      <c r="H405" s="286"/>
    </row>
    <row r="406" spans="1:12" x14ac:dyDescent="0.5">
      <c r="A406" s="286"/>
      <c r="B406" s="286"/>
      <c r="C406" s="286"/>
      <c r="D406" s="286"/>
      <c r="E406" s="286"/>
      <c r="F406" s="286"/>
      <c r="G406" s="286"/>
      <c r="H406" s="286"/>
    </row>
    <row r="407" spans="1:12" x14ac:dyDescent="0.5">
      <c r="A407" s="286"/>
      <c r="B407" s="286"/>
      <c r="C407" s="286"/>
      <c r="D407" s="286"/>
      <c r="E407" s="286"/>
      <c r="F407" s="286"/>
      <c r="G407" s="286"/>
      <c r="H407" s="286"/>
    </row>
    <row r="408" spans="1:12" x14ac:dyDescent="0.5">
      <c r="A408" s="286"/>
      <c r="B408" s="286"/>
      <c r="C408" s="286"/>
      <c r="D408" s="286"/>
      <c r="E408" s="286"/>
      <c r="F408" s="286"/>
      <c r="G408" s="286"/>
      <c r="H408" s="286"/>
    </row>
    <row r="409" spans="1:12" x14ac:dyDescent="0.5">
      <c r="A409" s="286"/>
      <c r="B409" s="286"/>
      <c r="C409" s="286"/>
      <c r="D409" s="286"/>
      <c r="E409" s="286"/>
      <c r="F409" s="286"/>
      <c r="G409" s="286"/>
      <c r="H409" s="286"/>
    </row>
    <row r="410" spans="1:12" x14ac:dyDescent="0.5">
      <c r="A410" s="554" t="s">
        <v>577</v>
      </c>
      <c r="B410" s="555"/>
      <c r="C410" s="555"/>
      <c r="D410" s="555"/>
      <c r="E410" s="555"/>
      <c r="F410" s="555"/>
      <c r="G410" s="555"/>
      <c r="H410" s="556"/>
      <c r="I410" s="287"/>
      <c r="J410" s="288"/>
      <c r="K410" s="288"/>
      <c r="L410" s="272"/>
    </row>
    <row r="411" spans="1:12" ht="129" customHeight="1" x14ac:dyDescent="0.5">
      <c r="A411" s="548" t="s">
        <v>578</v>
      </c>
      <c r="B411" s="548"/>
      <c r="C411" s="548"/>
      <c r="D411" s="548"/>
      <c r="E411" s="548"/>
      <c r="F411" s="548"/>
      <c r="G411" s="548"/>
      <c r="H411" s="548"/>
    </row>
    <row r="412" spans="1:12" ht="181.5" customHeight="1" x14ac:dyDescent="0.5">
      <c r="A412" s="548"/>
      <c r="B412" s="548"/>
      <c r="C412" s="548"/>
      <c r="D412" s="548"/>
      <c r="E412" s="548"/>
      <c r="F412" s="548"/>
      <c r="G412" s="548"/>
      <c r="H412" s="548"/>
    </row>
    <row r="413" spans="1:12" x14ac:dyDescent="0.5"/>
    <row r="414" spans="1:12" x14ac:dyDescent="0.5"/>
    <row r="415" spans="1:12" x14ac:dyDescent="0.5"/>
    <row r="416" spans="1:12" x14ac:dyDescent="0.5"/>
    <row r="417" x14ac:dyDescent="0.5"/>
    <row r="418" x14ac:dyDescent="0.5"/>
    <row r="419" x14ac:dyDescent="0.5"/>
    <row r="420" x14ac:dyDescent="0.5"/>
    <row r="421" x14ac:dyDescent="0.5"/>
    <row r="422" x14ac:dyDescent="0.5"/>
    <row r="423" x14ac:dyDescent="0.5"/>
    <row r="424" x14ac:dyDescent="0.5"/>
    <row r="425" x14ac:dyDescent="0.5"/>
    <row r="426" x14ac:dyDescent="0.5"/>
    <row r="427" x14ac:dyDescent="0.5"/>
    <row r="428" x14ac:dyDescent="0.5"/>
    <row r="429" x14ac:dyDescent="0.5"/>
    <row r="430" x14ac:dyDescent="0.5"/>
    <row r="431" x14ac:dyDescent="0.5"/>
    <row r="432" x14ac:dyDescent="0.5"/>
    <row r="433" x14ac:dyDescent="0.5"/>
    <row r="434" x14ac:dyDescent="0.5"/>
    <row r="435" x14ac:dyDescent="0.5"/>
    <row r="436" x14ac:dyDescent="0.5"/>
    <row r="437" x14ac:dyDescent="0.5"/>
    <row r="438" x14ac:dyDescent="0.5"/>
    <row r="439" x14ac:dyDescent="0.5"/>
    <row r="440" x14ac:dyDescent="0.5"/>
    <row r="441" x14ac:dyDescent="0.5"/>
    <row r="442" x14ac:dyDescent="0.5"/>
    <row r="443" x14ac:dyDescent="0.5"/>
    <row r="444" x14ac:dyDescent="0.5"/>
    <row r="445" x14ac:dyDescent="0.5"/>
    <row r="446" x14ac:dyDescent="0.5"/>
    <row r="447" x14ac:dyDescent="0.5"/>
    <row r="448" x14ac:dyDescent="0.5"/>
    <row r="449" x14ac:dyDescent="0.5"/>
    <row r="450" x14ac:dyDescent="0.5"/>
    <row r="451" x14ac:dyDescent="0.5"/>
    <row r="452" x14ac:dyDescent="0.5"/>
    <row r="453" x14ac:dyDescent="0.5"/>
    <row r="454" x14ac:dyDescent="0.5"/>
    <row r="455" x14ac:dyDescent="0.5"/>
    <row r="456" x14ac:dyDescent="0.5"/>
    <row r="457" x14ac:dyDescent="0.5"/>
    <row r="458" x14ac:dyDescent="0.5"/>
    <row r="459" x14ac:dyDescent="0.5"/>
    <row r="460" x14ac:dyDescent="0.5"/>
    <row r="461" x14ac:dyDescent="0.5"/>
    <row r="462" x14ac:dyDescent="0.5"/>
    <row r="463" x14ac:dyDescent="0.5"/>
    <row r="464" x14ac:dyDescent="0.5"/>
    <row r="465" x14ac:dyDescent="0.5"/>
    <row r="466" x14ac:dyDescent="0.5"/>
    <row r="467" x14ac:dyDescent="0.5"/>
    <row r="468" x14ac:dyDescent="0.5"/>
    <row r="469" x14ac:dyDescent="0.5"/>
    <row r="470" x14ac:dyDescent="0.5"/>
    <row r="471" x14ac:dyDescent="0.5"/>
    <row r="472" x14ac:dyDescent="0.5"/>
    <row r="473" x14ac:dyDescent="0.5"/>
    <row r="474" x14ac:dyDescent="0.5"/>
    <row r="475" x14ac:dyDescent="0.5"/>
    <row r="476" x14ac:dyDescent="0.5"/>
    <row r="477" x14ac:dyDescent="0.5"/>
    <row r="478" x14ac:dyDescent="0.5"/>
    <row r="479" x14ac:dyDescent="0.5"/>
    <row r="480" x14ac:dyDescent="0.5"/>
    <row r="481" x14ac:dyDescent="0.5"/>
    <row r="482" x14ac:dyDescent="0.5"/>
    <row r="483" x14ac:dyDescent="0.5"/>
    <row r="484" x14ac:dyDescent="0.5"/>
    <row r="485" x14ac:dyDescent="0.5"/>
  </sheetData>
  <sheetProtection formatCells="0" formatRows="0" insertRows="0" deleteRows="0"/>
  <mergeCells count="180">
    <mergeCell ref="A141:C141"/>
    <mergeCell ref="A142:H142"/>
    <mergeCell ref="A143:H143"/>
    <mergeCell ref="A144:H144"/>
    <mergeCell ref="A138:C138"/>
    <mergeCell ref="D138:E138"/>
    <mergeCell ref="F138:F139"/>
    <mergeCell ref="G138:G139"/>
    <mergeCell ref="H138:H139"/>
    <mergeCell ref="A135:B135"/>
    <mergeCell ref="C135:H135"/>
    <mergeCell ref="A137:C137"/>
    <mergeCell ref="D137:F137"/>
    <mergeCell ref="G137:H137"/>
    <mergeCell ref="A128:C128"/>
    <mergeCell ref="A129:H129"/>
    <mergeCell ref="A130:H130"/>
    <mergeCell ref="A131:H131"/>
    <mergeCell ref="A134:B134"/>
    <mergeCell ref="C134:H134"/>
    <mergeCell ref="A125:C125"/>
    <mergeCell ref="D125:E125"/>
    <mergeCell ref="F125:F126"/>
    <mergeCell ref="G125:G126"/>
    <mergeCell ref="H125:H126"/>
    <mergeCell ref="A122:B122"/>
    <mergeCell ref="C122:H122"/>
    <mergeCell ref="A124:C124"/>
    <mergeCell ref="D124:F124"/>
    <mergeCell ref="G124:H124"/>
    <mergeCell ref="A115:C115"/>
    <mergeCell ref="A116:H116"/>
    <mergeCell ref="A117:H117"/>
    <mergeCell ref="A118:H118"/>
    <mergeCell ref="A121:B121"/>
    <mergeCell ref="C121:H121"/>
    <mergeCell ref="A112:C112"/>
    <mergeCell ref="D112:E112"/>
    <mergeCell ref="F112:F113"/>
    <mergeCell ref="G112:G113"/>
    <mergeCell ref="H112:H113"/>
    <mergeCell ref="A109:B109"/>
    <mergeCell ref="C109:H109"/>
    <mergeCell ref="A111:C111"/>
    <mergeCell ref="D111:F111"/>
    <mergeCell ref="G111:H111"/>
    <mergeCell ref="A102:C102"/>
    <mergeCell ref="A103:H103"/>
    <mergeCell ref="A104:H104"/>
    <mergeCell ref="A105:H105"/>
    <mergeCell ref="A108:B108"/>
    <mergeCell ref="C108:H108"/>
    <mergeCell ref="A99:C99"/>
    <mergeCell ref="D99:E99"/>
    <mergeCell ref="F99:F100"/>
    <mergeCell ref="G99:G100"/>
    <mergeCell ref="H99:H100"/>
    <mergeCell ref="A96:B96"/>
    <mergeCell ref="C96:H96"/>
    <mergeCell ref="A98:C98"/>
    <mergeCell ref="D98:F98"/>
    <mergeCell ref="G98:H98"/>
    <mergeCell ref="A89:C89"/>
    <mergeCell ref="A90:H90"/>
    <mergeCell ref="A91:H91"/>
    <mergeCell ref="A92:H92"/>
    <mergeCell ref="A95:B95"/>
    <mergeCell ref="C95:H95"/>
    <mergeCell ref="A86:C86"/>
    <mergeCell ref="D86:E86"/>
    <mergeCell ref="F86:F87"/>
    <mergeCell ref="G86:G87"/>
    <mergeCell ref="H86:H87"/>
    <mergeCell ref="A83:B83"/>
    <mergeCell ref="C83:H83"/>
    <mergeCell ref="A85:C85"/>
    <mergeCell ref="D85:F85"/>
    <mergeCell ref="G85:H85"/>
    <mergeCell ref="A76:C76"/>
    <mergeCell ref="A77:H77"/>
    <mergeCell ref="A78:H78"/>
    <mergeCell ref="A79:H79"/>
    <mergeCell ref="A82:B82"/>
    <mergeCell ref="C82:H82"/>
    <mergeCell ref="A73:C73"/>
    <mergeCell ref="D73:E73"/>
    <mergeCell ref="F73:F74"/>
    <mergeCell ref="G73:G74"/>
    <mergeCell ref="H73:H74"/>
    <mergeCell ref="A70:B70"/>
    <mergeCell ref="C70:H70"/>
    <mergeCell ref="A72:C72"/>
    <mergeCell ref="D72:F72"/>
    <mergeCell ref="G72:H72"/>
    <mergeCell ref="A63:C63"/>
    <mergeCell ref="A64:H64"/>
    <mergeCell ref="A65:H65"/>
    <mergeCell ref="A66:H66"/>
    <mergeCell ref="A69:B69"/>
    <mergeCell ref="C69:H69"/>
    <mergeCell ref="A60:C60"/>
    <mergeCell ref="D60:E60"/>
    <mergeCell ref="F60:F61"/>
    <mergeCell ref="G60:G61"/>
    <mergeCell ref="H60:H61"/>
    <mergeCell ref="A57:B57"/>
    <mergeCell ref="C57:H57"/>
    <mergeCell ref="A59:C59"/>
    <mergeCell ref="D59:F59"/>
    <mergeCell ref="G59:H59"/>
    <mergeCell ref="A50:C50"/>
    <mergeCell ref="A51:H51"/>
    <mergeCell ref="A52:H52"/>
    <mergeCell ref="A53:H53"/>
    <mergeCell ref="A56:B56"/>
    <mergeCell ref="C56:H56"/>
    <mergeCell ref="A47:C47"/>
    <mergeCell ref="D47:E47"/>
    <mergeCell ref="F47:F48"/>
    <mergeCell ref="G47:G48"/>
    <mergeCell ref="H47:H48"/>
    <mergeCell ref="A44:B44"/>
    <mergeCell ref="C44:H44"/>
    <mergeCell ref="A46:C46"/>
    <mergeCell ref="D46:F46"/>
    <mergeCell ref="G46:H46"/>
    <mergeCell ref="A37:C37"/>
    <mergeCell ref="A38:H38"/>
    <mergeCell ref="A39:H39"/>
    <mergeCell ref="A40:H40"/>
    <mergeCell ref="A43:B43"/>
    <mergeCell ref="C43:H43"/>
    <mergeCell ref="A34:C34"/>
    <mergeCell ref="D34:E34"/>
    <mergeCell ref="F34:F35"/>
    <mergeCell ref="G34:G35"/>
    <mergeCell ref="H34:H35"/>
    <mergeCell ref="A33:C33"/>
    <mergeCell ref="D33:F33"/>
    <mergeCell ref="G33:H33"/>
    <mergeCell ref="A24:C24"/>
    <mergeCell ref="A25:H25"/>
    <mergeCell ref="A26:H26"/>
    <mergeCell ref="A27:H27"/>
    <mergeCell ref="A30:B30"/>
    <mergeCell ref="C30:H30"/>
    <mergeCell ref="F21:F22"/>
    <mergeCell ref="G21:G22"/>
    <mergeCell ref="H21:H22"/>
    <mergeCell ref="A18:B18"/>
    <mergeCell ref="C18:H18"/>
    <mergeCell ref="A20:C20"/>
    <mergeCell ref="D20:F20"/>
    <mergeCell ref="G20:H20"/>
    <mergeCell ref="A31:B31"/>
    <mergeCell ref="C31:H31"/>
    <mergeCell ref="A1:H1"/>
    <mergeCell ref="A2:H2"/>
    <mergeCell ref="A3:B3"/>
    <mergeCell ref="C3:H3"/>
    <mergeCell ref="A4:B4"/>
    <mergeCell ref="C4:H4"/>
    <mergeCell ref="A411:H412"/>
    <mergeCell ref="A6:C6"/>
    <mergeCell ref="D6:F6"/>
    <mergeCell ref="G6:H6"/>
    <mergeCell ref="A7:C7"/>
    <mergeCell ref="D7:E7"/>
    <mergeCell ref="F7:F8"/>
    <mergeCell ref="G7:G8"/>
    <mergeCell ref="H7:H8"/>
    <mergeCell ref="A12:C12"/>
    <mergeCell ref="A13:H13"/>
    <mergeCell ref="A14:H14"/>
    <mergeCell ref="A15:H15"/>
    <mergeCell ref="A410:H410"/>
    <mergeCell ref="A17:B17"/>
    <mergeCell ref="C17:H17"/>
    <mergeCell ref="A21:C21"/>
    <mergeCell ref="D21:E21"/>
  </mergeCells>
  <dataValidations count="1">
    <dataValidation type="list" allowBlank="1" showInputMessage="1" showErrorMessage="1" sqref="AN8:AN9">
      <formula1>$AN$8:$AN$9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'[5]AÇÕES ESTRATÉGICAS - DESCRIÇÃO '!#REF!</xm:f>
          </x14:formula1>
          <xm:sqref>C9:C11 C23 C36 C49 C62 C75 C101 C88 C114 C127 C140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>
    <tabColor rgb="FFFFFF00"/>
  </sheetPr>
  <dimension ref="A1:AN117"/>
  <sheetViews>
    <sheetView showGridLines="0" zoomScale="80" zoomScaleNormal="80" zoomScaleSheetLayoutView="80" workbookViewId="0">
      <selection activeCell="E12" sqref="E12"/>
    </sheetView>
  </sheetViews>
  <sheetFormatPr defaultColWidth="0" defaultRowHeight="25.8" zeroHeight="1" x14ac:dyDescent="0.5"/>
  <cols>
    <col min="1" max="1" width="18.44140625" style="265" customWidth="1"/>
    <col min="2" max="2" width="79.6640625" style="265" customWidth="1"/>
    <col min="3" max="3" width="22.109375" style="265" customWidth="1"/>
    <col min="4" max="4" width="18.44140625" style="265" customWidth="1"/>
    <col min="5" max="5" width="23.77734375" style="265" customWidth="1"/>
    <col min="6" max="6" width="14.33203125" style="265" customWidth="1"/>
    <col min="7" max="8" width="18.109375" style="289" hidden="1" customWidth="1"/>
    <col min="9" max="9" width="10.33203125" style="265" bestFit="1" customWidth="1"/>
    <col min="10" max="40" width="0" style="266" hidden="1" customWidth="1"/>
    <col min="41" max="16384" width="36.88671875" style="266" hidden="1"/>
  </cols>
  <sheetData>
    <row r="1" spans="1:40" x14ac:dyDescent="0.5">
      <c r="A1" s="531" t="s">
        <v>559</v>
      </c>
      <c r="B1" s="532"/>
      <c r="C1" s="532"/>
      <c r="D1" s="532"/>
      <c r="E1" s="532"/>
      <c r="F1" s="532"/>
      <c r="G1" s="532"/>
      <c r="H1" s="533"/>
    </row>
    <row r="2" spans="1:40" ht="63.75" customHeight="1" x14ac:dyDescent="0.5">
      <c r="A2" s="534" t="s">
        <v>560</v>
      </c>
      <c r="B2" s="534"/>
      <c r="C2" s="534"/>
      <c r="D2" s="534"/>
      <c r="E2" s="534"/>
      <c r="F2" s="534"/>
      <c r="G2" s="534"/>
      <c r="H2" s="535"/>
    </row>
    <row r="3" spans="1:40" x14ac:dyDescent="0.5">
      <c r="A3" s="536" t="s">
        <v>561</v>
      </c>
      <c r="B3" s="537"/>
      <c r="C3" s="557" t="str">
        <f>'Quadro Geral'!C31</f>
        <v>Manutenção das Atividades do Gabinete da Presidência</v>
      </c>
      <c r="D3" s="557"/>
      <c r="E3" s="557"/>
      <c r="F3" s="557"/>
      <c r="G3" s="557"/>
      <c r="H3" s="558"/>
      <c r="N3" s="267"/>
      <c r="O3" s="268"/>
      <c r="P3" s="268"/>
      <c r="Q3" s="268"/>
      <c r="R3" s="268"/>
      <c r="S3" s="268"/>
      <c r="T3" s="268"/>
      <c r="U3" s="268"/>
      <c r="V3" s="268"/>
      <c r="W3" s="268"/>
    </row>
    <row r="4" spans="1:40" ht="30.75" customHeight="1" x14ac:dyDescent="0.5">
      <c r="A4" s="537" t="s">
        <v>34</v>
      </c>
      <c r="B4" s="537"/>
      <c r="C4" s="557" t="str">
        <f>'Quadro Geral'!E31</f>
        <v>Estimular a produção da Arquitetura e Urbanismo como política de Estado</v>
      </c>
      <c r="D4" s="557"/>
      <c r="E4" s="557"/>
      <c r="F4" s="557"/>
      <c r="G4" s="557"/>
      <c r="H4" s="558"/>
      <c r="V4" s="268"/>
      <c r="W4" s="268"/>
    </row>
    <row r="5" spans="1:40" s="272" customFormat="1" ht="49.5" customHeight="1" x14ac:dyDescent="0.5">
      <c r="A5" s="269"/>
      <c r="B5" s="269"/>
      <c r="C5" s="269"/>
      <c r="D5" s="270"/>
      <c r="E5" s="270"/>
      <c r="F5" s="270"/>
      <c r="G5" s="270" t="s">
        <v>155</v>
      </c>
      <c r="H5" s="270"/>
      <c r="I5" s="271"/>
      <c r="N5" s="273"/>
      <c r="O5" s="274"/>
      <c r="P5" s="274"/>
      <c r="Q5" s="274"/>
      <c r="R5" s="274"/>
      <c r="S5" s="274"/>
      <c r="T5" s="274"/>
      <c r="U5" s="274"/>
      <c r="V5" s="274"/>
      <c r="W5" s="274"/>
    </row>
    <row r="6" spans="1:40" x14ac:dyDescent="0.5">
      <c r="A6" s="540" t="s">
        <v>562</v>
      </c>
      <c r="B6" s="541"/>
      <c r="C6" s="541"/>
      <c r="D6" s="540" t="s">
        <v>563</v>
      </c>
      <c r="E6" s="541"/>
      <c r="F6" s="542"/>
      <c r="G6" s="543" t="s">
        <v>564</v>
      </c>
      <c r="H6" s="544"/>
      <c r="M6" s="274"/>
      <c r="N6" s="274"/>
      <c r="O6" s="274"/>
      <c r="P6" s="274"/>
      <c r="Q6" s="274"/>
      <c r="R6" s="274"/>
      <c r="S6" s="274"/>
      <c r="T6" s="274"/>
      <c r="U6" s="268"/>
      <c r="V6" s="268"/>
      <c r="W6" s="268"/>
    </row>
    <row r="7" spans="1:40" x14ac:dyDescent="0.5">
      <c r="A7" s="540" t="s">
        <v>565</v>
      </c>
      <c r="B7" s="541"/>
      <c r="C7" s="542"/>
      <c r="D7" s="540" t="s">
        <v>566</v>
      </c>
      <c r="E7" s="542"/>
      <c r="F7" s="545" t="s">
        <v>567</v>
      </c>
      <c r="G7" s="546" t="s">
        <v>568</v>
      </c>
      <c r="H7" s="546" t="s">
        <v>569</v>
      </c>
      <c r="M7" s="274"/>
      <c r="N7" s="274"/>
      <c r="O7" s="274"/>
      <c r="P7" s="274"/>
      <c r="Q7" s="274"/>
      <c r="R7" s="274"/>
      <c r="S7" s="274"/>
      <c r="T7" s="274"/>
      <c r="U7" s="268"/>
      <c r="V7" s="268"/>
      <c r="W7" s="268"/>
    </row>
    <row r="8" spans="1:40" ht="63" customHeight="1" x14ac:dyDescent="0.5">
      <c r="A8" s="275" t="s">
        <v>570</v>
      </c>
      <c r="B8" s="275" t="s">
        <v>571</v>
      </c>
      <c r="C8" s="276" t="s">
        <v>572</v>
      </c>
      <c r="D8" s="275" t="s">
        <v>573</v>
      </c>
      <c r="E8" s="275" t="s">
        <v>574</v>
      </c>
      <c r="F8" s="545"/>
      <c r="G8" s="547"/>
      <c r="H8" s="547"/>
      <c r="M8" s="274"/>
      <c r="N8" s="274"/>
      <c r="O8" s="274"/>
      <c r="P8" s="274"/>
      <c r="Q8" s="274"/>
      <c r="R8" s="274"/>
      <c r="S8" s="274"/>
      <c r="T8" s="274"/>
      <c r="U8" s="268"/>
      <c r="V8" s="268"/>
      <c r="W8" s="268"/>
      <c r="AN8" s="266" t="s">
        <v>72</v>
      </c>
    </row>
    <row r="9" spans="1:40" ht="32.25" customHeight="1" x14ac:dyDescent="0.5">
      <c r="A9" s="12"/>
      <c r="B9" s="293" t="s">
        <v>620</v>
      </c>
      <c r="C9" s="12"/>
      <c r="D9" s="13">
        <v>424254.20999999996</v>
      </c>
      <c r="E9" s="387">
        <v>607161.72</v>
      </c>
      <c r="F9" s="277">
        <f t="shared" ref="F9:F12" si="0">IFERROR(E9/D9*100-100,)</f>
        <v>43.112715369400831</v>
      </c>
      <c r="G9" s="13"/>
      <c r="H9" s="278">
        <f t="shared" ref="H9:H12" si="1">IFERROR(G9/E9*100,)</f>
        <v>0</v>
      </c>
      <c r="M9" s="274"/>
      <c r="N9" s="267"/>
      <c r="O9" s="268"/>
      <c r="P9" s="268"/>
      <c r="Q9" s="268"/>
      <c r="R9" s="268"/>
      <c r="S9" s="268"/>
      <c r="T9" s="268"/>
      <c r="U9" s="268"/>
      <c r="V9" s="268"/>
      <c r="W9" s="268"/>
      <c r="AN9" s="266" t="s">
        <v>575</v>
      </c>
    </row>
    <row r="10" spans="1:40" ht="32.25" customHeight="1" x14ac:dyDescent="0.5">
      <c r="A10" s="12"/>
      <c r="B10" s="319" t="s">
        <v>621</v>
      </c>
      <c r="C10" s="12"/>
      <c r="D10" s="13">
        <v>70866.87</v>
      </c>
      <c r="E10" s="34">
        <v>87324.72</v>
      </c>
      <c r="F10" s="277">
        <f t="shared" si="0"/>
        <v>23.223616338636106</v>
      </c>
      <c r="G10" s="13"/>
      <c r="H10" s="278">
        <f t="shared" si="1"/>
        <v>0</v>
      </c>
      <c r="N10" s="267"/>
      <c r="O10" s="268"/>
      <c r="P10" s="268"/>
      <c r="Q10" s="268"/>
      <c r="R10" s="268"/>
      <c r="S10" s="268"/>
      <c r="T10" s="268"/>
      <c r="U10" s="268"/>
      <c r="V10" s="268"/>
      <c r="W10" s="268"/>
      <c r="AN10" s="266" t="s">
        <v>576</v>
      </c>
    </row>
    <row r="11" spans="1:40" ht="32.25" customHeight="1" x14ac:dyDescent="0.5">
      <c r="A11" s="12"/>
      <c r="B11" s="319" t="s">
        <v>673</v>
      </c>
      <c r="C11" s="12"/>
      <c r="D11" s="13">
        <v>4782.8599999999997</v>
      </c>
      <c r="E11" s="320">
        <f>21773.64/2</f>
        <v>10886.82</v>
      </c>
      <c r="F11" s="277">
        <f t="shared" si="0"/>
        <v>127.62154861317288</v>
      </c>
      <c r="G11" s="13"/>
      <c r="H11" s="278">
        <f t="shared" si="1"/>
        <v>0</v>
      </c>
      <c r="N11" s="267"/>
      <c r="O11" s="268"/>
      <c r="P11" s="268"/>
      <c r="Q11" s="268"/>
      <c r="R11" s="268"/>
      <c r="S11" s="268"/>
      <c r="T11" s="268"/>
      <c r="U11" s="268"/>
      <c r="V11" s="268"/>
      <c r="W11" s="268"/>
    </row>
    <row r="12" spans="1:40" s="284" customFormat="1" x14ac:dyDescent="0.3">
      <c r="A12" s="552" t="s">
        <v>0</v>
      </c>
      <c r="B12" s="552"/>
      <c r="C12" s="552"/>
      <c r="D12" s="280">
        <f>SUM(D9:D11)</f>
        <v>499903.93999999994</v>
      </c>
      <c r="E12" s="280">
        <f>SUM(E9:E11)</f>
        <v>705373.25999999989</v>
      </c>
      <c r="F12" s="281">
        <f t="shared" si="0"/>
        <v>41.101760470221535</v>
      </c>
      <c r="G12" s="280">
        <f>SUM(G9:G11)</f>
        <v>0</v>
      </c>
      <c r="H12" s="282">
        <f t="shared" si="1"/>
        <v>0</v>
      </c>
      <c r="I12" s="283"/>
    </row>
    <row r="13" spans="1:40" x14ac:dyDescent="0.5">
      <c r="A13" s="553"/>
      <c r="B13" s="553"/>
      <c r="C13" s="553"/>
      <c r="D13" s="553"/>
      <c r="E13" s="553"/>
      <c r="F13" s="553"/>
      <c r="G13" s="553"/>
      <c r="H13" s="553"/>
    </row>
    <row r="14" spans="1:40" x14ac:dyDescent="0.5">
      <c r="A14" s="554" t="s">
        <v>227</v>
      </c>
      <c r="B14" s="555"/>
      <c r="C14" s="555"/>
      <c r="D14" s="555"/>
      <c r="E14" s="555"/>
      <c r="F14" s="555"/>
      <c r="G14" s="555"/>
      <c r="H14" s="556"/>
      <c r="J14" s="285"/>
    </row>
    <row r="15" spans="1:40" x14ac:dyDescent="0.5">
      <c r="A15" s="549"/>
      <c r="B15" s="550"/>
      <c r="C15" s="550"/>
      <c r="D15" s="550"/>
      <c r="E15" s="550"/>
      <c r="F15" s="550"/>
      <c r="G15" s="550"/>
      <c r="H15" s="551"/>
    </row>
    <row r="16" spans="1:40" x14ac:dyDescent="0.5">
      <c r="A16" s="286"/>
      <c r="B16" s="286"/>
      <c r="C16" s="286"/>
      <c r="D16" s="286"/>
      <c r="E16" s="286"/>
      <c r="F16" s="286"/>
      <c r="G16" s="286"/>
      <c r="H16" s="286"/>
    </row>
    <row r="17" spans="1:9" s="316" customFormat="1" x14ac:dyDescent="0.5">
      <c r="A17" s="286"/>
      <c r="B17" s="286"/>
      <c r="C17" s="286"/>
      <c r="D17" s="286"/>
      <c r="E17" s="286"/>
      <c r="F17" s="286"/>
      <c r="G17" s="286"/>
      <c r="H17" s="286"/>
      <c r="I17" s="265"/>
    </row>
    <row r="18" spans="1:9" s="316" customFormat="1" x14ac:dyDescent="0.5">
      <c r="A18" s="536" t="s">
        <v>561</v>
      </c>
      <c r="B18" s="537"/>
      <c r="C18" s="557" t="str">
        <f>'Quadro Geral'!C32</f>
        <v>Projeto de fomento à assistência técnica em habitação de interesse social</v>
      </c>
      <c r="D18" s="557"/>
      <c r="E18" s="557"/>
      <c r="F18" s="557"/>
      <c r="G18" s="557"/>
      <c r="H18" s="558"/>
      <c r="I18" s="265"/>
    </row>
    <row r="19" spans="1:9" s="316" customFormat="1" x14ac:dyDescent="0.5">
      <c r="A19" s="537" t="s">
        <v>34</v>
      </c>
      <c r="B19" s="537"/>
      <c r="C19" s="557" t="str">
        <f>'Quadro Geral'!E32</f>
        <v>Fomentar o acesso da sociedade à Arquitetura e Urbanismo</v>
      </c>
      <c r="D19" s="557"/>
      <c r="E19" s="557"/>
      <c r="F19" s="557"/>
      <c r="G19" s="557"/>
      <c r="H19" s="558"/>
      <c r="I19" s="265"/>
    </row>
    <row r="20" spans="1:9" s="316" customFormat="1" x14ac:dyDescent="0.5">
      <c r="A20" s="303"/>
      <c r="B20" s="303"/>
      <c r="C20" s="303"/>
      <c r="D20" s="270"/>
      <c r="E20" s="270"/>
      <c r="F20" s="270"/>
      <c r="G20" s="270" t="s">
        <v>155</v>
      </c>
      <c r="H20" s="270"/>
      <c r="I20" s="265"/>
    </row>
    <row r="21" spans="1:9" s="316" customFormat="1" x14ac:dyDescent="0.5">
      <c r="A21" s="540" t="s">
        <v>562</v>
      </c>
      <c r="B21" s="541"/>
      <c r="C21" s="541"/>
      <c r="D21" s="540" t="s">
        <v>563</v>
      </c>
      <c r="E21" s="541"/>
      <c r="F21" s="542"/>
      <c r="G21" s="543" t="s">
        <v>564</v>
      </c>
      <c r="H21" s="544"/>
      <c r="I21" s="265"/>
    </row>
    <row r="22" spans="1:9" s="316" customFormat="1" x14ac:dyDescent="0.5">
      <c r="A22" s="540" t="s">
        <v>565</v>
      </c>
      <c r="B22" s="541"/>
      <c r="C22" s="542"/>
      <c r="D22" s="540" t="s">
        <v>566</v>
      </c>
      <c r="E22" s="542"/>
      <c r="F22" s="545" t="s">
        <v>567</v>
      </c>
      <c r="G22" s="546" t="s">
        <v>568</v>
      </c>
      <c r="H22" s="546" t="s">
        <v>569</v>
      </c>
      <c r="I22" s="265"/>
    </row>
    <row r="23" spans="1:9" s="316" customFormat="1" ht="46.8" x14ac:dyDescent="0.5">
      <c r="A23" s="301" t="s">
        <v>570</v>
      </c>
      <c r="B23" s="301" t="s">
        <v>571</v>
      </c>
      <c r="C23" s="276" t="s">
        <v>572</v>
      </c>
      <c r="D23" s="301" t="s">
        <v>573</v>
      </c>
      <c r="E23" s="301" t="s">
        <v>574</v>
      </c>
      <c r="F23" s="545"/>
      <c r="G23" s="547"/>
      <c r="H23" s="547"/>
      <c r="I23" s="265"/>
    </row>
    <row r="24" spans="1:9" s="316" customFormat="1" x14ac:dyDescent="0.5">
      <c r="A24" s="319"/>
      <c r="B24" s="293" t="s">
        <v>620</v>
      </c>
      <c r="C24" s="319"/>
      <c r="D24" s="13">
        <v>189897.91999999998</v>
      </c>
      <c r="E24" s="13">
        <v>193181.76</v>
      </c>
      <c r="F24" s="277">
        <f t="shared" ref="F24:F26" si="2">IFERROR(E24/D24*100-100,)</f>
        <v>1.7292659129705186</v>
      </c>
      <c r="G24" s="13"/>
      <c r="H24" s="278">
        <f t="shared" ref="H24:H26" si="3">IFERROR(G24/E24*100,)</f>
        <v>0</v>
      </c>
      <c r="I24" s="265"/>
    </row>
    <row r="25" spans="1:9" s="316" customFormat="1" x14ac:dyDescent="0.5">
      <c r="A25" s="319"/>
      <c r="B25" s="319" t="s">
        <v>621</v>
      </c>
      <c r="C25" s="319"/>
      <c r="D25" s="13">
        <v>20804.2</v>
      </c>
      <c r="E25" s="34">
        <v>20884.919999999998</v>
      </c>
      <c r="F25" s="277">
        <f t="shared" si="2"/>
        <v>0.38799857721036801</v>
      </c>
      <c r="G25" s="13"/>
      <c r="H25" s="278">
        <f t="shared" si="3"/>
        <v>0</v>
      </c>
      <c r="I25" s="265"/>
    </row>
    <row r="26" spans="1:9" s="316" customFormat="1" x14ac:dyDescent="0.5">
      <c r="A26" s="552" t="s">
        <v>0</v>
      </c>
      <c r="B26" s="552"/>
      <c r="C26" s="552"/>
      <c r="D26" s="280">
        <f>SUM(D24:D25)</f>
        <v>210702.12</v>
      </c>
      <c r="E26" s="280">
        <f>SUM(E24:E25)</f>
        <v>214066.68</v>
      </c>
      <c r="F26" s="281">
        <f t="shared" si="2"/>
        <v>1.5968325330566273</v>
      </c>
      <c r="G26" s="280">
        <f>SUM(G24:G25)</f>
        <v>0</v>
      </c>
      <c r="H26" s="282">
        <f t="shared" si="3"/>
        <v>0</v>
      </c>
      <c r="I26" s="265"/>
    </row>
    <row r="27" spans="1:9" s="316" customFormat="1" x14ac:dyDescent="0.5">
      <c r="A27" s="553"/>
      <c r="B27" s="553"/>
      <c r="C27" s="553"/>
      <c r="D27" s="553"/>
      <c r="E27" s="553"/>
      <c r="F27" s="553"/>
      <c r="G27" s="553"/>
      <c r="H27" s="553"/>
      <c r="I27" s="265"/>
    </row>
    <row r="28" spans="1:9" s="316" customFormat="1" x14ac:dyDescent="0.5">
      <c r="A28" s="554" t="s">
        <v>227</v>
      </c>
      <c r="B28" s="555"/>
      <c r="C28" s="555"/>
      <c r="D28" s="555"/>
      <c r="E28" s="555"/>
      <c r="F28" s="555"/>
      <c r="G28" s="555"/>
      <c r="H28" s="556"/>
      <c r="I28" s="265"/>
    </row>
    <row r="29" spans="1:9" s="316" customFormat="1" x14ac:dyDescent="0.5">
      <c r="A29" s="549"/>
      <c r="B29" s="550"/>
      <c r="C29" s="550"/>
      <c r="D29" s="550"/>
      <c r="E29" s="550"/>
      <c r="F29" s="550"/>
      <c r="G29" s="550"/>
      <c r="H29" s="551"/>
      <c r="I29" s="265"/>
    </row>
    <row r="30" spans="1:9" s="316" customFormat="1" x14ac:dyDescent="0.5">
      <c r="A30" s="286"/>
      <c r="B30" s="286"/>
      <c r="C30" s="286"/>
      <c r="D30" s="286"/>
      <c r="E30" s="286"/>
      <c r="F30" s="286"/>
      <c r="G30" s="286"/>
      <c r="H30" s="286"/>
      <c r="I30" s="265"/>
    </row>
    <row r="31" spans="1:9" s="316" customFormat="1" x14ac:dyDescent="0.5">
      <c r="A31" s="286"/>
      <c r="B31" s="286"/>
      <c r="C31" s="286"/>
      <c r="D31" s="286"/>
      <c r="E31" s="286"/>
      <c r="F31" s="286"/>
      <c r="G31" s="286"/>
      <c r="H31" s="286"/>
      <c r="I31" s="265"/>
    </row>
    <row r="32" spans="1:9" s="316" customFormat="1" x14ac:dyDescent="0.5">
      <c r="A32" s="536" t="s">
        <v>561</v>
      </c>
      <c r="B32" s="537"/>
      <c r="C32" s="557" t="str">
        <f>'Quadro Geral'!C33</f>
        <v>Capacitação em ATHIS</v>
      </c>
      <c r="D32" s="557"/>
      <c r="E32" s="557"/>
      <c r="F32" s="557"/>
      <c r="G32" s="557"/>
      <c r="H32" s="558"/>
      <c r="I32" s="265"/>
    </row>
    <row r="33" spans="1:9" s="316" customFormat="1" x14ac:dyDescent="0.5">
      <c r="A33" s="537" t="s">
        <v>34</v>
      </c>
      <c r="B33" s="537"/>
      <c r="C33" s="557" t="str">
        <f>'Quadro Geral'!E33</f>
        <v>Fomentar o acesso da sociedade à Arquitetura e Urbanismo</v>
      </c>
      <c r="D33" s="557"/>
      <c r="E33" s="557"/>
      <c r="F33" s="557"/>
      <c r="G33" s="557"/>
      <c r="H33" s="558"/>
      <c r="I33" s="265"/>
    </row>
    <row r="34" spans="1:9" s="316" customFormat="1" x14ac:dyDescent="0.5">
      <c r="A34" s="303"/>
      <c r="B34" s="303"/>
      <c r="C34" s="303"/>
      <c r="D34" s="270"/>
      <c r="E34" s="270"/>
      <c r="F34" s="270"/>
      <c r="G34" s="270" t="s">
        <v>155</v>
      </c>
      <c r="H34" s="270"/>
      <c r="I34" s="265"/>
    </row>
    <row r="35" spans="1:9" s="316" customFormat="1" x14ac:dyDescent="0.5">
      <c r="A35" s="540" t="s">
        <v>562</v>
      </c>
      <c r="B35" s="541"/>
      <c r="C35" s="541"/>
      <c r="D35" s="540" t="s">
        <v>563</v>
      </c>
      <c r="E35" s="541"/>
      <c r="F35" s="542"/>
      <c r="G35" s="543" t="s">
        <v>564</v>
      </c>
      <c r="H35" s="544"/>
      <c r="I35" s="265"/>
    </row>
    <row r="36" spans="1:9" s="316" customFormat="1" x14ac:dyDescent="0.5">
      <c r="A36" s="540" t="s">
        <v>565</v>
      </c>
      <c r="B36" s="541"/>
      <c r="C36" s="542"/>
      <c r="D36" s="540" t="s">
        <v>566</v>
      </c>
      <c r="E36" s="542"/>
      <c r="F36" s="545" t="s">
        <v>567</v>
      </c>
      <c r="G36" s="546" t="s">
        <v>568</v>
      </c>
      <c r="H36" s="546" t="s">
        <v>569</v>
      </c>
      <c r="I36" s="265"/>
    </row>
    <row r="37" spans="1:9" s="316" customFormat="1" ht="46.8" x14ac:dyDescent="0.5">
      <c r="A37" s="301" t="s">
        <v>570</v>
      </c>
      <c r="B37" s="301" t="s">
        <v>571</v>
      </c>
      <c r="C37" s="276" t="s">
        <v>572</v>
      </c>
      <c r="D37" s="301" t="s">
        <v>573</v>
      </c>
      <c r="E37" s="301" t="s">
        <v>574</v>
      </c>
      <c r="F37" s="545"/>
      <c r="G37" s="547"/>
      <c r="H37" s="547"/>
      <c r="I37" s="265"/>
    </row>
    <row r="38" spans="1:9" s="316" customFormat="1" x14ac:dyDescent="0.5">
      <c r="A38" s="319"/>
      <c r="B38" s="265" t="s">
        <v>668</v>
      </c>
      <c r="C38" s="319"/>
      <c r="D38" s="13">
        <v>0</v>
      </c>
      <c r="E38" s="13">
        <v>200000</v>
      </c>
      <c r="F38" s="277">
        <f t="shared" ref="F38:F39" si="4">IFERROR(E38/D38*100-100,)</f>
        <v>0</v>
      </c>
      <c r="G38" s="13"/>
      <c r="H38" s="278">
        <f t="shared" ref="H38:H39" si="5">IFERROR(G38/E38*100,)</f>
        <v>0</v>
      </c>
      <c r="I38" s="265"/>
    </row>
    <row r="39" spans="1:9" s="316" customFormat="1" x14ac:dyDescent="0.5">
      <c r="A39" s="552" t="s">
        <v>0</v>
      </c>
      <c r="B39" s="552"/>
      <c r="C39" s="552"/>
      <c r="D39" s="280">
        <f>SUM(D38:D38)</f>
        <v>0</v>
      </c>
      <c r="E39" s="280">
        <f>SUM(E38:E38)</f>
        <v>200000</v>
      </c>
      <c r="F39" s="281">
        <f t="shared" si="4"/>
        <v>0</v>
      </c>
      <c r="G39" s="280">
        <f>SUM(G38:G38)</f>
        <v>0</v>
      </c>
      <c r="H39" s="282">
        <f t="shared" si="5"/>
        <v>0</v>
      </c>
      <c r="I39" s="265"/>
    </row>
    <row r="40" spans="1:9" s="316" customFormat="1" x14ac:dyDescent="0.5">
      <c r="A40" s="553"/>
      <c r="B40" s="553"/>
      <c r="C40" s="553"/>
      <c r="D40" s="553"/>
      <c r="E40" s="553"/>
      <c r="F40" s="553"/>
      <c r="G40" s="553"/>
      <c r="H40" s="553"/>
      <c r="I40" s="265"/>
    </row>
    <row r="41" spans="1:9" s="316" customFormat="1" x14ac:dyDescent="0.5">
      <c r="A41" s="554" t="s">
        <v>227</v>
      </c>
      <c r="B41" s="555"/>
      <c r="C41" s="555"/>
      <c r="D41" s="555"/>
      <c r="E41" s="555"/>
      <c r="F41" s="555"/>
      <c r="G41" s="555"/>
      <c r="H41" s="556"/>
      <c r="I41" s="265"/>
    </row>
    <row r="42" spans="1:9" s="316" customFormat="1" x14ac:dyDescent="0.5">
      <c r="A42" s="549"/>
      <c r="B42" s="550"/>
      <c r="C42" s="550"/>
      <c r="D42" s="550"/>
      <c r="E42" s="550"/>
      <c r="F42" s="550"/>
      <c r="G42" s="550"/>
      <c r="H42" s="551"/>
      <c r="I42" s="265"/>
    </row>
    <row r="43" spans="1:9" s="316" customFormat="1" x14ac:dyDescent="0.5">
      <c r="A43" s="286"/>
      <c r="B43" s="286"/>
      <c r="C43" s="286"/>
      <c r="D43" s="286"/>
      <c r="E43" s="286"/>
      <c r="F43" s="286"/>
      <c r="G43" s="286"/>
      <c r="H43" s="286"/>
      <c r="I43" s="265"/>
    </row>
    <row r="44" spans="1:9" s="316" customFormat="1" x14ac:dyDescent="0.5">
      <c r="A44" s="286"/>
      <c r="B44" s="286"/>
      <c r="C44" s="286"/>
      <c r="D44" s="286"/>
      <c r="E44" s="286"/>
      <c r="F44" s="286"/>
      <c r="G44" s="286"/>
      <c r="H44" s="286"/>
      <c r="I44" s="265"/>
    </row>
    <row r="45" spans="1:9" s="316" customFormat="1" x14ac:dyDescent="0.5">
      <c r="A45" s="536" t="s">
        <v>561</v>
      </c>
      <c r="B45" s="537"/>
      <c r="C45" s="538" t="str">
        <f>'Quadro Geral'!C34</f>
        <v>Edital para instalação dos escritórios municipais</v>
      </c>
      <c r="D45" s="538"/>
      <c r="E45" s="538"/>
      <c r="F45" s="538"/>
      <c r="G45" s="538"/>
      <c r="H45" s="539"/>
      <c r="I45" s="265"/>
    </row>
    <row r="46" spans="1:9" s="316" customFormat="1" x14ac:dyDescent="0.5">
      <c r="A46" s="537" t="s">
        <v>34</v>
      </c>
      <c r="B46" s="537"/>
      <c r="C46" s="538" t="str">
        <f>'Quadro Geral'!E34</f>
        <v>Estimular o conhecimento, o uso de processos criativos e a difusão das melhores práticas em Arquitetura e Urbanismo</v>
      </c>
      <c r="D46" s="538"/>
      <c r="E46" s="538"/>
      <c r="F46" s="538"/>
      <c r="G46" s="538"/>
      <c r="H46" s="539"/>
      <c r="I46" s="265"/>
    </row>
    <row r="47" spans="1:9" s="316" customFormat="1" x14ac:dyDescent="0.5">
      <c r="A47" s="303"/>
      <c r="B47" s="303"/>
      <c r="C47" s="303"/>
      <c r="D47" s="270"/>
      <c r="E47" s="270"/>
      <c r="F47" s="270"/>
      <c r="G47" s="270" t="s">
        <v>155</v>
      </c>
      <c r="H47" s="270"/>
      <c r="I47" s="265"/>
    </row>
    <row r="48" spans="1:9" s="316" customFormat="1" x14ac:dyDescent="0.5">
      <c r="A48" s="540" t="s">
        <v>562</v>
      </c>
      <c r="B48" s="541"/>
      <c r="C48" s="541"/>
      <c r="D48" s="540" t="s">
        <v>563</v>
      </c>
      <c r="E48" s="541"/>
      <c r="F48" s="542"/>
      <c r="G48" s="543" t="s">
        <v>564</v>
      </c>
      <c r="H48" s="544"/>
      <c r="I48" s="265"/>
    </row>
    <row r="49" spans="1:9" s="316" customFormat="1" x14ac:dyDescent="0.5">
      <c r="A49" s="540" t="s">
        <v>565</v>
      </c>
      <c r="B49" s="541"/>
      <c r="C49" s="542"/>
      <c r="D49" s="540" t="s">
        <v>566</v>
      </c>
      <c r="E49" s="542"/>
      <c r="F49" s="545" t="s">
        <v>567</v>
      </c>
      <c r="G49" s="546" t="s">
        <v>568</v>
      </c>
      <c r="H49" s="546" t="s">
        <v>569</v>
      </c>
      <c r="I49" s="265"/>
    </row>
    <row r="50" spans="1:9" s="316" customFormat="1" ht="46.8" x14ac:dyDescent="0.5">
      <c r="A50" s="301" t="s">
        <v>570</v>
      </c>
      <c r="B50" s="301" t="s">
        <v>571</v>
      </c>
      <c r="C50" s="276" t="s">
        <v>572</v>
      </c>
      <c r="D50" s="301" t="s">
        <v>573</v>
      </c>
      <c r="E50" s="301" t="s">
        <v>574</v>
      </c>
      <c r="F50" s="545"/>
      <c r="G50" s="547"/>
      <c r="H50" s="547"/>
      <c r="I50" s="265"/>
    </row>
    <row r="51" spans="1:9" s="316" customFormat="1" ht="33.6" x14ac:dyDescent="0.5">
      <c r="A51" s="319"/>
      <c r="B51" s="265" t="s">
        <v>675</v>
      </c>
      <c r="C51" s="319"/>
      <c r="D51" s="13">
        <v>0</v>
      </c>
      <c r="E51" s="13">
        <v>500000</v>
      </c>
      <c r="F51" s="277">
        <f t="shared" ref="F51:F52" si="6">IFERROR(E51/D51*100-100,)</f>
        <v>0</v>
      </c>
      <c r="G51" s="13"/>
      <c r="H51" s="278">
        <f t="shared" ref="H51:H52" si="7">IFERROR(G51/E51*100,)</f>
        <v>0</v>
      </c>
      <c r="I51" s="265"/>
    </row>
    <row r="52" spans="1:9" s="316" customFormat="1" x14ac:dyDescent="0.5">
      <c r="A52" s="552" t="s">
        <v>0</v>
      </c>
      <c r="B52" s="552"/>
      <c r="C52" s="552"/>
      <c r="D52" s="280">
        <f>SUM(D51:D51)</f>
        <v>0</v>
      </c>
      <c r="E52" s="280">
        <f>SUM(E51:E51)</f>
        <v>500000</v>
      </c>
      <c r="F52" s="281">
        <f t="shared" si="6"/>
        <v>0</v>
      </c>
      <c r="G52" s="280">
        <f>SUM(G51:G51)</f>
        <v>0</v>
      </c>
      <c r="H52" s="282">
        <f t="shared" si="7"/>
        <v>0</v>
      </c>
      <c r="I52" s="265"/>
    </row>
    <row r="53" spans="1:9" s="316" customFormat="1" x14ac:dyDescent="0.5">
      <c r="A53" s="553"/>
      <c r="B53" s="553"/>
      <c r="C53" s="553"/>
      <c r="D53" s="553"/>
      <c r="E53" s="553"/>
      <c r="F53" s="553"/>
      <c r="G53" s="553"/>
      <c r="H53" s="553"/>
      <c r="I53" s="265"/>
    </row>
    <row r="54" spans="1:9" s="316" customFormat="1" x14ac:dyDescent="0.5">
      <c r="A54" s="554" t="s">
        <v>227</v>
      </c>
      <c r="B54" s="555"/>
      <c r="C54" s="555"/>
      <c r="D54" s="555"/>
      <c r="E54" s="555"/>
      <c r="F54" s="555"/>
      <c r="G54" s="555"/>
      <c r="H54" s="556"/>
      <c r="I54" s="265"/>
    </row>
    <row r="55" spans="1:9" s="316" customFormat="1" x14ac:dyDescent="0.5">
      <c r="A55" s="549"/>
      <c r="B55" s="550"/>
      <c r="C55" s="550"/>
      <c r="D55" s="550"/>
      <c r="E55" s="550"/>
      <c r="F55" s="550"/>
      <c r="G55" s="550"/>
      <c r="H55" s="551"/>
      <c r="I55" s="265"/>
    </row>
    <row r="56" spans="1:9" s="316" customFormat="1" x14ac:dyDescent="0.5">
      <c r="A56" s="298"/>
      <c r="B56" s="299"/>
      <c r="C56" s="299"/>
      <c r="D56" s="299"/>
      <c r="E56" s="299"/>
      <c r="F56" s="299"/>
      <c r="G56" s="299"/>
      <c r="H56" s="300"/>
      <c r="I56" s="265"/>
    </row>
    <row r="57" spans="1:9" s="323" customFormat="1" x14ac:dyDescent="0.5">
      <c r="A57" s="298"/>
      <c r="B57" s="299"/>
      <c r="C57" s="299"/>
      <c r="D57" s="299"/>
      <c r="E57" s="299"/>
      <c r="F57" s="299"/>
      <c r="G57" s="299"/>
      <c r="H57" s="300"/>
      <c r="I57" s="265"/>
    </row>
    <row r="58" spans="1:9" s="323" customFormat="1" x14ac:dyDescent="0.5">
      <c r="A58" s="536" t="s">
        <v>561</v>
      </c>
      <c r="B58" s="537"/>
      <c r="C58" s="538" t="str">
        <f>'Quadro Geral'!C35</f>
        <v>Projeto Nenhuma Casa sem Banheiro</v>
      </c>
      <c r="D58" s="538"/>
      <c r="E58" s="538"/>
      <c r="F58" s="538"/>
      <c r="G58" s="538"/>
      <c r="H58" s="539"/>
      <c r="I58" s="265"/>
    </row>
    <row r="59" spans="1:9" s="323" customFormat="1" x14ac:dyDescent="0.5">
      <c r="A59" s="537" t="s">
        <v>34</v>
      </c>
      <c r="B59" s="537"/>
      <c r="C59" s="538" t="str">
        <f>'Quadro Geral'!E35</f>
        <v>Fomentar o acesso da sociedade à Arquitetura e Urbanismo</v>
      </c>
      <c r="D59" s="538"/>
      <c r="E59" s="538"/>
      <c r="F59" s="538"/>
      <c r="G59" s="538"/>
      <c r="H59" s="539"/>
      <c r="I59" s="265"/>
    </row>
    <row r="60" spans="1:9" s="323" customFormat="1" x14ac:dyDescent="0.5">
      <c r="A60" s="303"/>
      <c r="B60" s="303"/>
      <c r="C60" s="303"/>
      <c r="D60" s="270"/>
      <c r="E60" s="270"/>
      <c r="F60" s="270"/>
      <c r="G60" s="270" t="s">
        <v>155</v>
      </c>
      <c r="H60" s="270"/>
      <c r="I60" s="265"/>
    </row>
    <row r="61" spans="1:9" s="323" customFormat="1" x14ac:dyDescent="0.5">
      <c r="A61" s="540" t="s">
        <v>562</v>
      </c>
      <c r="B61" s="541"/>
      <c r="C61" s="541"/>
      <c r="D61" s="540" t="s">
        <v>563</v>
      </c>
      <c r="E61" s="541"/>
      <c r="F61" s="542"/>
      <c r="G61" s="543" t="s">
        <v>564</v>
      </c>
      <c r="H61" s="544"/>
      <c r="I61" s="265"/>
    </row>
    <row r="62" spans="1:9" s="323" customFormat="1" x14ac:dyDescent="0.5">
      <c r="A62" s="540" t="s">
        <v>565</v>
      </c>
      <c r="B62" s="541"/>
      <c r="C62" s="542"/>
      <c r="D62" s="540" t="s">
        <v>566</v>
      </c>
      <c r="E62" s="542"/>
      <c r="F62" s="545" t="s">
        <v>567</v>
      </c>
      <c r="G62" s="546" t="s">
        <v>568</v>
      </c>
      <c r="H62" s="546" t="s">
        <v>569</v>
      </c>
      <c r="I62" s="265"/>
    </row>
    <row r="63" spans="1:9" s="323" customFormat="1" ht="46.8" x14ac:dyDescent="0.5">
      <c r="A63" s="301" t="s">
        <v>570</v>
      </c>
      <c r="B63" s="301" t="s">
        <v>571</v>
      </c>
      <c r="C63" s="276" t="s">
        <v>572</v>
      </c>
      <c r="D63" s="301" t="s">
        <v>573</v>
      </c>
      <c r="E63" s="301" t="s">
        <v>574</v>
      </c>
      <c r="F63" s="545"/>
      <c r="G63" s="547"/>
      <c r="H63" s="547"/>
      <c r="I63" s="265"/>
    </row>
    <row r="64" spans="1:9" s="323" customFormat="1" ht="33.6" x14ac:dyDescent="0.5">
      <c r="A64" s="319"/>
      <c r="B64" s="265" t="s">
        <v>677</v>
      </c>
      <c r="C64" s="319"/>
      <c r="D64" s="13">
        <v>0</v>
      </c>
      <c r="E64" s="13">
        <v>500000</v>
      </c>
      <c r="F64" s="277">
        <f t="shared" ref="F64:F65" si="8">IFERROR(E64/D64*100-100,)</f>
        <v>0</v>
      </c>
      <c r="G64" s="13"/>
      <c r="H64" s="278">
        <f t="shared" ref="H64:H65" si="9">IFERROR(G64/E64*100,)</f>
        <v>0</v>
      </c>
      <c r="I64" s="265"/>
    </row>
    <row r="65" spans="1:9" s="323" customFormat="1" x14ac:dyDescent="0.5">
      <c r="A65" s="552" t="s">
        <v>0</v>
      </c>
      <c r="B65" s="552"/>
      <c r="C65" s="552"/>
      <c r="D65" s="280">
        <f>SUM(D64:D64)</f>
        <v>0</v>
      </c>
      <c r="E65" s="280">
        <f>SUM(E64:E64)</f>
        <v>500000</v>
      </c>
      <c r="F65" s="281">
        <f t="shared" si="8"/>
        <v>0</v>
      </c>
      <c r="G65" s="280">
        <f>SUM(G64:G64)</f>
        <v>0</v>
      </c>
      <c r="H65" s="282">
        <f t="shared" si="9"/>
        <v>0</v>
      </c>
      <c r="I65" s="265"/>
    </row>
    <row r="66" spans="1:9" s="323" customFormat="1" x14ac:dyDescent="0.5">
      <c r="A66" s="553"/>
      <c r="B66" s="553"/>
      <c r="C66" s="553"/>
      <c r="D66" s="553"/>
      <c r="E66" s="553"/>
      <c r="F66" s="553"/>
      <c r="G66" s="553"/>
      <c r="H66" s="553"/>
      <c r="I66" s="265"/>
    </row>
    <row r="67" spans="1:9" s="323" customFormat="1" x14ac:dyDescent="0.5">
      <c r="A67" s="554" t="s">
        <v>227</v>
      </c>
      <c r="B67" s="555"/>
      <c r="C67" s="555"/>
      <c r="D67" s="555"/>
      <c r="E67" s="555"/>
      <c r="F67" s="555"/>
      <c r="G67" s="555"/>
      <c r="H67" s="556"/>
      <c r="I67" s="265"/>
    </row>
    <row r="68" spans="1:9" s="323" customFormat="1" x14ac:dyDescent="0.5">
      <c r="A68" s="549"/>
      <c r="B68" s="550"/>
      <c r="C68" s="550"/>
      <c r="D68" s="550"/>
      <c r="E68" s="550"/>
      <c r="F68" s="550"/>
      <c r="G68" s="550"/>
      <c r="H68" s="551"/>
      <c r="I68" s="265"/>
    </row>
    <row r="69" spans="1:9" s="323" customFormat="1" x14ac:dyDescent="0.5">
      <c r="A69" s="298"/>
      <c r="B69" s="299"/>
      <c r="C69" s="299"/>
      <c r="D69" s="299"/>
      <c r="E69" s="299"/>
      <c r="F69" s="299"/>
      <c r="G69" s="299"/>
      <c r="H69" s="300"/>
      <c r="I69" s="265"/>
    </row>
    <row r="70" spans="1:9" s="323" customFormat="1" x14ac:dyDescent="0.5">
      <c r="A70" s="298"/>
      <c r="B70" s="299"/>
      <c r="C70" s="299"/>
      <c r="D70" s="299"/>
      <c r="E70" s="299"/>
      <c r="F70" s="299"/>
      <c r="G70" s="299"/>
      <c r="H70" s="300"/>
      <c r="I70" s="265"/>
    </row>
    <row r="71" spans="1:9" s="323" customFormat="1" x14ac:dyDescent="0.5">
      <c r="A71" s="536" t="s">
        <v>561</v>
      </c>
      <c r="B71" s="537"/>
      <c r="C71" s="538"/>
      <c r="D71" s="538"/>
      <c r="E71" s="538"/>
      <c r="F71" s="538"/>
      <c r="G71" s="538"/>
      <c r="H71" s="539"/>
      <c r="I71" s="265"/>
    </row>
    <row r="72" spans="1:9" s="323" customFormat="1" x14ac:dyDescent="0.5">
      <c r="A72" s="537" t="s">
        <v>34</v>
      </c>
      <c r="B72" s="537"/>
      <c r="C72" s="538"/>
      <c r="D72" s="538"/>
      <c r="E72" s="538"/>
      <c r="F72" s="538"/>
      <c r="G72" s="538"/>
      <c r="H72" s="539"/>
      <c r="I72" s="265"/>
    </row>
    <row r="73" spans="1:9" s="323" customFormat="1" x14ac:dyDescent="0.5">
      <c r="A73" s="303"/>
      <c r="B73" s="303"/>
      <c r="C73" s="303"/>
      <c r="D73" s="270"/>
      <c r="E73" s="270"/>
      <c r="F73" s="270"/>
      <c r="G73" s="270" t="s">
        <v>155</v>
      </c>
      <c r="H73" s="270"/>
      <c r="I73" s="265"/>
    </row>
    <row r="74" spans="1:9" s="323" customFormat="1" x14ac:dyDescent="0.5">
      <c r="A74" s="540" t="s">
        <v>562</v>
      </c>
      <c r="B74" s="541"/>
      <c r="C74" s="541"/>
      <c r="D74" s="540" t="s">
        <v>563</v>
      </c>
      <c r="E74" s="541"/>
      <c r="F74" s="542"/>
      <c r="G74" s="543" t="s">
        <v>564</v>
      </c>
      <c r="H74" s="544"/>
      <c r="I74" s="265"/>
    </row>
    <row r="75" spans="1:9" s="323" customFormat="1" x14ac:dyDescent="0.5">
      <c r="A75" s="540" t="s">
        <v>565</v>
      </c>
      <c r="B75" s="541"/>
      <c r="C75" s="542"/>
      <c r="D75" s="540" t="s">
        <v>566</v>
      </c>
      <c r="E75" s="542"/>
      <c r="F75" s="545" t="s">
        <v>567</v>
      </c>
      <c r="G75" s="546" t="s">
        <v>568</v>
      </c>
      <c r="H75" s="546" t="s">
        <v>569</v>
      </c>
      <c r="I75" s="265"/>
    </row>
    <row r="76" spans="1:9" s="323" customFormat="1" ht="46.8" x14ac:dyDescent="0.5">
      <c r="A76" s="301" t="s">
        <v>570</v>
      </c>
      <c r="B76" s="301" t="s">
        <v>571</v>
      </c>
      <c r="C76" s="276" t="s">
        <v>572</v>
      </c>
      <c r="D76" s="301" t="s">
        <v>573</v>
      </c>
      <c r="E76" s="301" t="s">
        <v>574</v>
      </c>
      <c r="F76" s="545"/>
      <c r="G76" s="547"/>
      <c r="H76" s="547"/>
      <c r="I76" s="265"/>
    </row>
    <row r="77" spans="1:9" s="323" customFormat="1" x14ac:dyDescent="0.5">
      <c r="A77" s="319"/>
      <c r="B77" s="265"/>
      <c r="C77" s="319"/>
      <c r="D77" s="13">
        <v>0</v>
      </c>
      <c r="E77" s="13"/>
      <c r="F77" s="277">
        <f t="shared" ref="F77:F78" si="10">IFERROR(E77/D77*100-100,)</f>
        <v>0</v>
      </c>
      <c r="G77" s="13"/>
      <c r="H77" s="278">
        <f t="shared" ref="H77:H78" si="11">IFERROR(G77/E77*100,)</f>
        <v>0</v>
      </c>
      <c r="I77" s="265"/>
    </row>
    <row r="78" spans="1:9" s="323" customFormat="1" x14ac:dyDescent="0.5">
      <c r="A78" s="552" t="s">
        <v>0</v>
      </c>
      <c r="B78" s="552"/>
      <c r="C78" s="552"/>
      <c r="D78" s="280">
        <f>SUM(D77:D77)</f>
        <v>0</v>
      </c>
      <c r="E78" s="280">
        <f>SUM(E77:E77)</f>
        <v>0</v>
      </c>
      <c r="F78" s="281">
        <f t="shared" si="10"/>
        <v>0</v>
      </c>
      <c r="G78" s="280">
        <f>SUM(G77:G77)</f>
        <v>0</v>
      </c>
      <c r="H78" s="282">
        <f t="shared" si="11"/>
        <v>0</v>
      </c>
      <c r="I78" s="265"/>
    </row>
    <row r="79" spans="1:9" s="323" customFormat="1" x14ac:dyDescent="0.5">
      <c r="A79" s="553"/>
      <c r="B79" s="553"/>
      <c r="C79" s="553"/>
      <c r="D79" s="553"/>
      <c r="E79" s="553"/>
      <c r="F79" s="553"/>
      <c r="G79" s="553"/>
      <c r="H79" s="553"/>
      <c r="I79" s="265"/>
    </row>
    <row r="80" spans="1:9" s="323" customFormat="1" x14ac:dyDescent="0.5">
      <c r="A80" s="554" t="s">
        <v>227</v>
      </c>
      <c r="B80" s="555"/>
      <c r="C80" s="555"/>
      <c r="D80" s="555"/>
      <c r="E80" s="555"/>
      <c r="F80" s="555"/>
      <c r="G80" s="555"/>
      <c r="H80" s="556"/>
      <c r="I80" s="265"/>
    </row>
    <row r="81" spans="1:12" s="323" customFormat="1" x14ac:dyDescent="0.5">
      <c r="A81" s="549"/>
      <c r="B81" s="550"/>
      <c r="C81" s="550"/>
      <c r="D81" s="550"/>
      <c r="E81" s="550"/>
      <c r="F81" s="550"/>
      <c r="G81" s="550"/>
      <c r="H81" s="551"/>
      <c r="I81" s="265"/>
    </row>
    <row r="82" spans="1:12" s="323" customFormat="1" x14ac:dyDescent="0.5">
      <c r="A82" s="298"/>
      <c r="B82" s="299"/>
      <c r="C82" s="299"/>
      <c r="D82" s="299"/>
      <c r="E82" s="299"/>
      <c r="F82" s="299"/>
      <c r="G82" s="299"/>
      <c r="H82" s="300"/>
      <c r="I82" s="265"/>
    </row>
    <row r="83" spans="1:12" s="316" customFormat="1" x14ac:dyDescent="0.5">
      <c r="A83" s="298"/>
      <c r="B83" s="299"/>
      <c r="C83" s="299"/>
      <c r="D83" s="299"/>
      <c r="E83" s="299"/>
      <c r="F83" s="299"/>
      <c r="G83" s="299"/>
      <c r="H83" s="300"/>
      <c r="I83" s="265"/>
    </row>
    <row r="84" spans="1:12" x14ac:dyDescent="0.5">
      <c r="A84" s="554" t="s">
        <v>577</v>
      </c>
      <c r="B84" s="555"/>
      <c r="C84" s="555"/>
      <c r="D84" s="555"/>
      <c r="E84" s="555"/>
      <c r="F84" s="555"/>
      <c r="G84" s="555"/>
      <c r="H84" s="556"/>
      <c r="I84" s="287"/>
      <c r="J84" s="288"/>
      <c r="K84" s="288"/>
      <c r="L84" s="272"/>
    </row>
    <row r="85" spans="1:12" ht="129" customHeight="1" x14ac:dyDescent="0.5">
      <c r="A85" s="548" t="s">
        <v>578</v>
      </c>
      <c r="B85" s="548"/>
      <c r="C85" s="548"/>
      <c r="D85" s="548"/>
      <c r="E85" s="548"/>
      <c r="F85" s="548"/>
      <c r="G85" s="548"/>
      <c r="H85" s="548"/>
    </row>
    <row r="86" spans="1:12" ht="181.5" customHeight="1" x14ac:dyDescent="0.5">
      <c r="A86" s="548"/>
      <c r="B86" s="548"/>
      <c r="C86" s="548"/>
      <c r="D86" s="548"/>
      <c r="E86" s="548"/>
      <c r="F86" s="548"/>
      <c r="G86" s="548"/>
      <c r="H86" s="548"/>
    </row>
    <row r="87" spans="1:12" x14ac:dyDescent="0.5"/>
    <row r="88" spans="1:12" x14ac:dyDescent="0.5"/>
    <row r="89" spans="1:12" x14ac:dyDescent="0.5"/>
    <row r="90" spans="1:12" x14ac:dyDescent="0.5"/>
    <row r="91" spans="1:12" x14ac:dyDescent="0.5"/>
    <row r="92" spans="1:12" x14ac:dyDescent="0.5"/>
    <row r="93" spans="1:12" x14ac:dyDescent="0.5"/>
    <row r="94" spans="1:12" x14ac:dyDescent="0.5"/>
    <row r="95" spans="1:12" x14ac:dyDescent="0.5"/>
    <row r="96" spans="1:12" x14ac:dyDescent="0.5"/>
    <row r="97" x14ac:dyDescent="0.5"/>
    <row r="98" x14ac:dyDescent="0.5"/>
    <row r="99" x14ac:dyDescent="0.5"/>
    <row r="100" x14ac:dyDescent="0.5"/>
    <row r="101" x14ac:dyDescent="0.5"/>
    <row r="102" x14ac:dyDescent="0.5"/>
    <row r="103" x14ac:dyDescent="0.5"/>
    <row r="104" x14ac:dyDescent="0.5"/>
    <row r="105" x14ac:dyDescent="0.5"/>
    <row r="106" x14ac:dyDescent="0.5"/>
    <row r="107" x14ac:dyDescent="0.5"/>
    <row r="108" x14ac:dyDescent="0.5"/>
    <row r="109" x14ac:dyDescent="0.5"/>
    <row r="110" x14ac:dyDescent="0.5"/>
    <row r="111" x14ac:dyDescent="0.5"/>
    <row r="112" x14ac:dyDescent="0.5"/>
    <row r="113" x14ac:dyDescent="0.5"/>
    <row r="114" x14ac:dyDescent="0.5"/>
    <row r="115" x14ac:dyDescent="0.5"/>
    <row r="116" x14ac:dyDescent="0.5"/>
    <row r="117" x14ac:dyDescent="0.5"/>
  </sheetData>
  <sheetProtection formatCells="0" formatRows="0" insertRows="0" deleteRows="0"/>
  <mergeCells count="100">
    <mergeCell ref="A78:C78"/>
    <mergeCell ref="A79:H79"/>
    <mergeCell ref="A80:H80"/>
    <mergeCell ref="A81:H81"/>
    <mergeCell ref="A75:C75"/>
    <mergeCell ref="D75:E75"/>
    <mergeCell ref="F75:F76"/>
    <mergeCell ref="G75:G76"/>
    <mergeCell ref="H75:H76"/>
    <mergeCell ref="A72:B72"/>
    <mergeCell ref="C72:H72"/>
    <mergeCell ref="A74:C74"/>
    <mergeCell ref="D74:F74"/>
    <mergeCell ref="G74:H74"/>
    <mergeCell ref="A65:C65"/>
    <mergeCell ref="A66:H66"/>
    <mergeCell ref="A67:H67"/>
    <mergeCell ref="A68:H68"/>
    <mergeCell ref="A71:B71"/>
    <mergeCell ref="C71:H71"/>
    <mergeCell ref="A62:C62"/>
    <mergeCell ref="D62:E62"/>
    <mergeCell ref="F62:F63"/>
    <mergeCell ref="G62:G63"/>
    <mergeCell ref="H62:H63"/>
    <mergeCell ref="A59:B59"/>
    <mergeCell ref="C59:H59"/>
    <mergeCell ref="A61:C61"/>
    <mergeCell ref="D61:F61"/>
    <mergeCell ref="G61:H61"/>
    <mergeCell ref="A52:C52"/>
    <mergeCell ref="A53:H53"/>
    <mergeCell ref="A54:H54"/>
    <mergeCell ref="A55:H55"/>
    <mergeCell ref="A58:B58"/>
    <mergeCell ref="C58:H58"/>
    <mergeCell ref="A49:C49"/>
    <mergeCell ref="D49:E49"/>
    <mergeCell ref="F49:F50"/>
    <mergeCell ref="G49:G50"/>
    <mergeCell ref="H49:H50"/>
    <mergeCell ref="A46:B46"/>
    <mergeCell ref="C46:H46"/>
    <mergeCell ref="A48:C48"/>
    <mergeCell ref="D48:F48"/>
    <mergeCell ref="G48:H48"/>
    <mergeCell ref="A39:C39"/>
    <mergeCell ref="A40:H40"/>
    <mergeCell ref="A41:H41"/>
    <mergeCell ref="A42:H42"/>
    <mergeCell ref="A45:B45"/>
    <mergeCell ref="C45:H45"/>
    <mergeCell ref="A36:C36"/>
    <mergeCell ref="D36:E36"/>
    <mergeCell ref="F36:F37"/>
    <mergeCell ref="G36:G37"/>
    <mergeCell ref="H36:H37"/>
    <mergeCell ref="A33:B33"/>
    <mergeCell ref="C33:H33"/>
    <mergeCell ref="A35:C35"/>
    <mergeCell ref="D35:F35"/>
    <mergeCell ref="G35:H35"/>
    <mergeCell ref="A26:C26"/>
    <mergeCell ref="A27:H27"/>
    <mergeCell ref="A28:H28"/>
    <mergeCell ref="A29:H29"/>
    <mergeCell ref="A32:B32"/>
    <mergeCell ref="C32:H32"/>
    <mergeCell ref="A22:C22"/>
    <mergeCell ref="D22:E22"/>
    <mergeCell ref="F22:F23"/>
    <mergeCell ref="G22:G23"/>
    <mergeCell ref="H22:H23"/>
    <mergeCell ref="A19:B19"/>
    <mergeCell ref="C19:H19"/>
    <mergeCell ref="A21:C21"/>
    <mergeCell ref="D21:F21"/>
    <mergeCell ref="G21:H21"/>
    <mergeCell ref="A85:H86"/>
    <mergeCell ref="A6:C6"/>
    <mergeCell ref="D6:F6"/>
    <mergeCell ref="G6:H6"/>
    <mergeCell ref="A7:C7"/>
    <mergeCell ref="D7:E7"/>
    <mergeCell ref="F7:F8"/>
    <mergeCell ref="G7:G8"/>
    <mergeCell ref="H7:H8"/>
    <mergeCell ref="A12:C12"/>
    <mergeCell ref="A13:H13"/>
    <mergeCell ref="A14:H14"/>
    <mergeCell ref="A15:H15"/>
    <mergeCell ref="A84:H84"/>
    <mergeCell ref="A18:B18"/>
    <mergeCell ref="C18:H18"/>
    <mergeCell ref="A1:H1"/>
    <mergeCell ref="A2:H2"/>
    <mergeCell ref="A3:B3"/>
    <mergeCell ref="C3:H3"/>
    <mergeCell ref="A4:B4"/>
    <mergeCell ref="C4:H4"/>
  </mergeCells>
  <dataValidations count="1">
    <dataValidation type="list" allowBlank="1" showInputMessage="1" showErrorMessage="1" sqref="AN8:AN9">
      <formula1>$AN$8:$AN$9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'[5]AÇÕES ESTRATÉGICAS - DESCRIÇÃO '!#REF!</xm:f>
          </x14:formula1>
          <xm:sqref>C9:C11 C24:C25 C38 C51 C64 C77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8">
    <tabColor rgb="FFFFFF00"/>
  </sheetPr>
  <dimension ref="A1:AN298"/>
  <sheetViews>
    <sheetView showGridLines="0" topLeftCell="A130" zoomScale="80" zoomScaleNormal="80" zoomScaleSheetLayoutView="80" workbookViewId="0">
      <selection activeCell="A138" sqref="A138:H138"/>
    </sheetView>
  </sheetViews>
  <sheetFormatPr defaultColWidth="0" defaultRowHeight="25.8" zeroHeight="1" x14ac:dyDescent="0.5"/>
  <cols>
    <col min="1" max="1" width="18.44140625" style="265" customWidth="1"/>
    <col min="2" max="2" width="79.6640625" style="265" customWidth="1"/>
    <col min="3" max="3" width="22.109375" style="265" customWidth="1"/>
    <col min="4" max="4" width="24.109375" style="265" customWidth="1"/>
    <col min="5" max="5" width="25" style="265" customWidth="1"/>
    <col min="6" max="6" width="14.33203125" style="265" customWidth="1"/>
    <col min="7" max="8" width="18.109375" style="289" hidden="1" customWidth="1"/>
    <col min="9" max="9" width="10.33203125" style="265" bestFit="1" customWidth="1"/>
    <col min="10" max="40" width="0" style="266" hidden="1" customWidth="1"/>
    <col min="41" max="16384" width="36.88671875" style="266" hidden="1"/>
  </cols>
  <sheetData>
    <row r="1" spans="1:40" x14ac:dyDescent="0.5">
      <c r="A1" s="531" t="s">
        <v>559</v>
      </c>
      <c r="B1" s="532"/>
      <c r="C1" s="532"/>
      <c r="D1" s="532"/>
      <c r="E1" s="532"/>
      <c r="F1" s="532"/>
      <c r="G1" s="532"/>
      <c r="H1" s="533"/>
    </row>
    <row r="2" spans="1:40" ht="63.75" customHeight="1" x14ac:dyDescent="0.5">
      <c r="A2" s="534" t="s">
        <v>560</v>
      </c>
      <c r="B2" s="534"/>
      <c r="C2" s="534"/>
      <c r="D2" s="534"/>
      <c r="E2" s="534"/>
      <c r="F2" s="534"/>
      <c r="G2" s="534"/>
      <c r="H2" s="535"/>
    </row>
    <row r="3" spans="1:40" x14ac:dyDescent="0.5">
      <c r="A3" s="536" t="s">
        <v>561</v>
      </c>
      <c r="B3" s="537"/>
      <c r="C3" s="557" t="str">
        <f>'Quadro Geral'!C38</f>
        <v>Manutenção das Atividades da Secretaria Geral da Mesa</v>
      </c>
      <c r="D3" s="557"/>
      <c r="E3" s="557"/>
      <c r="F3" s="557"/>
      <c r="G3" s="557"/>
      <c r="H3" s="558"/>
      <c r="N3" s="267"/>
      <c r="O3" s="268"/>
      <c r="P3" s="268"/>
      <c r="Q3" s="268"/>
      <c r="R3" s="268"/>
      <c r="S3" s="268"/>
      <c r="T3" s="268"/>
      <c r="U3" s="268"/>
      <c r="V3" s="268"/>
      <c r="W3" s="268"/>
    </row>
    <row r="4" spans="1:40" ht="30.75" customHeight="1" x14ac:dyDescent="0.5">
      <c r="A4" s="537" t="s">
        <v>34</v>
      </c>
      <c r="B4" s="537"/>
      <c r="C4" s="557" t="str">
        <f>'Quadro Geral'!E38</f>
        <v>Construir cultura organizacional adequada à estratégia</v>
      </c>
      <c r="D4" s="557"/>
      <c r="E4" s="557"/>
      <c r="F4" s="557"/>
      <c r="G4" s="557"/>
      <c r="H4" s="558"/>
      <c r="V4" s="268"/>
      <c r="W4" s="268"/>
    </row>
    <row r="5" spans="1:40" s="272" customFormat="1" ht="49.5" customHeight="1" x14ac:dyDescent="0.5">
      <c r="A5" s="269"/>
      <c r="B5" s="269"/>
      <c r="C5" s="269"/>
      <c r="D5" s="270"/>
      <c r="E5" s="270"/>
      <c r="F5" s="270"/>
      <c r="G5" s="270" t="s">
        <v>155</v>
      </c>
      <c r="H5" s="270"/>
      <c r="I5" s="271"/>
      <c r="N5" s="273"/>
      <c r="O5" s="274"/>
      <c r="P5" s="274"/>
      <c r="Q5" s="274"/>
      <c r="R5" s="274"/>
      <c r="S5" s="274"/>
      <c r="T5" s="274"/>
      <c r="U5" s="274"/>
      <c r="V5" s="274"/>
      <c r="W5" s="274"/>
    </row>
    <row r="6" spans="1:40" x14ac:dyDescent="0.5">
      <c r="A6" s="540" t="s">
        <v>562</v>
      </c>
      <c r="B6" s="541"/>
      <c r="C6" s="541"/>
      <c r="D6" s="540" t="s">
        <v>563</v>
      </c>
      <c r="E6" s="541"/>
      <c r="F6" s="542"/>
      <c r="G6" s="543" t="s">
        <v>564</v>
      </c>
      <c r="H6" s="544"/>
      <c r="M6" s="274"/>
      <c r="N6" s="274"/>
      <c r="O6" s="274"/>
      <c r="P6" s="274"/>
      <c r="Q6" s="274"/>
      <c r="R6" s="274"/>
      <c r="S6" s="274"/>
      <c r="T6" s="274"/>
      <c r="U6" s="268"/>
      <c r="V6" s="268"/>
      <c r="W6" s="268"/>
    </row>
    <row r="7" spans="1:40" x14ac:dyDescent="0.5">
      <c r="A7" s="540" t="s">
        <v>565</v>
      </c>
      <c r="B7" s="541"/>
      <c r="C7" s="542"/>
      <c r="D7" s="540" t="s">
        <v>566</v>
      </c>
      <c r="E7" s="542"/>
      <c r="F7" s="545" t="s">
        <v>567</v>
      </c>
      <c r="G7" s="546" t="s">
        <v>568</v>
      </c>
      <c r="H7" s="546" t="s">
        <v>569</v>
      </c>
      <c r="M7" s="274"/>
      <c r="N7" s="274"/>
      <c r="O7" s="274"/>
      <c r="P7" s="274"/>
      <c r="Q7" s="274"/>
      <c r="R7" s="274"/>
      <c r="S7" s="274"/>
      <c r="T7" s="274"/>
      <c r="U7" s="268"/>
      <c r="V7" s="268"/>
      <c r="W7" s="268"/>
    </row>
    <row r="8" spans="1:40" ht="63" customHeight="1" x14ac:dyDescent="0.5">
      <c r="A8" s="275" t="s">
        <v>570</v>
      </c>
      <c r="B8" s="275" t="s">
        <v>571</v>
      </c>
      <c r="C8" s="276" t="s">
        <v>572</v>
      </c>
      <c r="D8" s="275" t="s">
        <v>573</v>
      </c>
      <c r="E8" s="275" t="s">
        <v>574</v>
      </c>
      <c r="F8" s="545"/>
      <c r="G8" s="547"/>
      <c r="H8" s="547"/>
      <c r="M8" s="274"/>
      <c r="N8" s="274"/>
      <c r="O8" s="274"/>
      <c r="P8" s="274"/>
      <c r="Q8" s="274"/>
      <c r="R8" s="274"/>
      <c r="S8" s="274"/>
      <c r="T8" s="274"/>
      <c r="U8" s="268"/>
      <c r="V8" s="268"/>
      <c r="W8" s="268"/>
      <c r="AN8" s="266" t="s">
        <v>72</v>
      </c>
    </row>
    <row r="9" spans="1:40" ht="32.25" customHeight="1" x14ac:dyDescent="0.5">
      <c r="A9" s="12"/>
      <c r="B9" s="265" t="s">
        <v>687</v>
      </c>
      <c r="C9" s="12"/>
      <c r="D9" s="13">
        <v>935289.23</v>
      </c>
      <c r="E9" s="320">
        <v>1348920.24</v>
      </c>
      <c r="F9" s="277">
        <f t="shared" ref="F9:F16" si="0">IFERROR(E9/D9*100-100,)</f>
        <v>44.224930292418748</v>
      </c>
      <c r="G9" s="13"/>
      <c r="H9" s="278">
        <f t="shared" ref="H9:H16" si="1">IFERROR(G9/E9*100,)</f>
        <v>0</v>
      </c>
      <c r="M9" s="274"/>
      <c r="N9" s="267"/>
      <c r="O9" s="268"/>
      <c r="P9" s="268"/>
      <c r="Q9" s="268"/>
      <c r="R9" s="268"/>
      <c r="S9" s="268"/>
      <c r="T9" s="268"/>
      <c r="U9" s="268"/>
      <c r="V9" s="268"/>
      <c r="W9" s="268"/>
      <c r="AN9" s="266" t="s">
        <v>575</v>
      </c>
    </row>
    <row r="10" spans="1:40" ht="32.25" customHeight="1" x14ac:dyDescent="0.5">
      <c r="A10" s="12"/>
      <c r="B10" s="319" t="s">
        <v>688</v>
      </c>
      <c r="C10" s="12"/>
      <c r="D10" s="13">
        <v>189678.98</v>
      </c>
      <c r="E10" s="34">
        <v>299925.84000000003</v>
      </c>
      <c r="F10" s="277">
        <f t="shared" si="0"/>
        <v>58.122866329205266</v>
      </c>
      <c r="G10" s="13"/>
      <c r="H10" s="278">
        <f t="shared" si="1"/>
        <v>0</v>
      </c>
      <c r="N10" s="267"/>
      <c r="O10" s="268"/>
      <c r="P10" s="268"/>
      <c r="Q10" s="268"/>
      <c r="R10" s="268"/>
      <c r="S10" s="268"/>
      <c r="T10" s="268"/>
      <c r="U10" s="268"/>
      <c r="V10" s="268"/>
      <c r="W10" s="268"/>
      <c r="AN10" s="266" t="s">
        <v>576</v>
      </c>
    </row>
    <row r="11" spans="1:40" ht="32.25" customHeight="1" x14ac:dyDescent="0.5">
      <c r="A11" s="12"/>
      <c r="B11" s="319" t="s">
        <v>689</v>
      </c>
      <c r="C11" s="12"/>
      <c r="D11" s="13">
        <v>9958</v>
      </c>
      <c r="E11" s="320">
        <v>0</v>
      </c>
      <c r="F11" s="277">
        <f t="shared" si="0"/>
        <v>-100</v>
      </c>
      <c r="G11" s="13"/>
      <c r="H11" s="278">
        <f t="shared" si="1"/>
        <v>0</v>
      </c>
      <c r="N11" s="267"/>
      <c r="O11" s="268"/>
      <c r="P11" s="268"/>
      <c r="Q11" s="268"/>
      <c r="R11" s="268"/>
      <c r="S11" s="268"/>
      <c r="T11" s="268"/>
      <c r="U11" s="268"/>
      <c r="V11" s="268"/>
      <c r="W11" s="268"/>
    </row>
    <row r="12" spans="1:40" ht="32.25" customHeight="1" x14ac:dyDescent="0.5">
      <c r="A12" s="12"/>
      <c r="B12" s="319" t="s">
        <v>690</v>
      </c>
      <c r="C12" s="12"/>
      <c r="D12" s="13">
        <v>38500</v>
      </c>
      <c r="E12" s="320">
        <v>0</v>
      </c>
      <c r="F12" s="277">
        <f t="shared" si="0"/>
        <v>-100</v>
      </c>
      <c r="G12" s="13"/>
      <c r="H12" s="278">
        <f t="shared" si="1"/>
        <v>0</v>
      </c>
      <c r="N12" s="267"/>
      <c r="O12" s="268"/>
      <c r="P12" s="268"/>
      <c r="Q12" s="268"/>
      <c r="R12" s="268"/>
      <c r="S12" s="268"/>
      <c r="T12" s="268"/>
      <c r="U12" s="268"/>
      <c r="V12" s="268"/>
      <c r="W12" s="268"/>
    </row>
    <row r="13" spans="1:40" ht="32.25" customHeight="1" x14ac:dyDescent="0.5">
      <c r="A13" s="12"/>
      <c r="B13" s="319" t="s">
        <v>691</v>
      </c>
      <c r="C13" s="12"/>
      <c r="D13" s="13">
        <v>0</v>
      </c>
      <c r="E13" s="320">
        <v>0</v>
      </c>
      <c r="F13" s="277">
        <f t="shared" si="0"/>
        <v>0</v>
      </c>
      <c r="G13" s="13"/>
      <c r="H13" s="278">
        <f t="shared" si="1"/>
        <v>0</v>
      </c>
      <c r="N13" s="268"/>
      <c r="O13" s="268"/>
      <c r="P13" s="268"/>
      <c r="Q13" s="268"/>
      <c r="R13" s="268"/>
      <c r="S13" s="268"/>
      <c r="T13" s="268"/>
      <c r="U13" s="268"/>
      <c r="V13" s="268"/>
      <c r="W13" s="268"/>
    </row>
    <row r="14" spans="1:40" ht="32.25" customHeight="1" x14ac:dyDescent="0.5">
      <c r="A14" s="12"/>
      <c r="B14" s="319" t="s">
        <v>673</v>
      </c>
      <c r="C14" s="12"/>
      <c r="D14" s="13">
        <v>4782.8599999999997</v>
      </c>
      <c r="E14" s="320">
        <f>21193.58/2</f>
        <v>10596.79</v>
      </c>
      <c r="F14" s="277">
        <f t="shared" si="0"/>
        <v>121.5576036095558</v>
      </c>
      <c r="G14" s="13"/>
      <c r="H14" s="278">
        <f t="shared" si="1"/>
        <v>0</v>
      </c>
      <c r="N14" s="268"/>
      <c r="O14" s="268"/>
      <c r="P14" s="268"/>
      <c r="Q14" s="268"/>
      <c r="R14" s="268"/>
      <c r="S14" s="268"/>
      <c r="T14" s="268"/>
      <c r="U14" s="268"/>
      <c r="V14" s="268"/>
      <c r="W14" s="268"/>
    </row>
    <row r="15" spans="1:40" ht="32.25" customHeight="1" x14ac:dyDescent="0.5">
      <c r="A15" s="12"/>
      <c r="B15" s="297" t="s">
        <v>659</v>
      </c>
      <c r="C15" s="12"/>
      <c r="D15" s="13">
        <v>0</v>
      </c>
      <c r="E15" s="320">
        <v>600</v>
      </c>
      <c r="F15" s="277">
        <f t="shared" si="0"/>
        <v>0</v>
      </c>
      <c r="G15" s="13"/>
      <c r="H15" s="278">
        <f t="shared" si="1"/>
        <v>0</v>
      </c>
      <c r="N15" s="279"/>
    </row>
    <row r="16" spans="1:40" s="284" customFormat="1" x14ac:dyDescent="0.3">
      <c r="A16" s="552" t="s">
        <v>0</v>
      </c>
      <c r="B16" s="552"/>
      <c r="C16" s="552"/>
      <c r="D16" s="280">
        <f>SUM(D9:D15)</f>
        <v>1178209.07</v>
      </c>
      <c r="E16" s="280">
        <f>SUM(E9:E15)</f>
        <v>1660042.87</v>
      </c>
      <c r="F16" s="281">
        <f t="shared" si="0"/>
        <v>40.895441417710344</v>
      </c>
      <c r="G16" s="280">
        <f>SUM(G9:G15)</f>
        <v>0</v>
      </c>
      <c r="H16" s="282">
        <f t="shared" si="1"/>
        <v>0</v>
      </c>
      <c r="I16" s="283"/>
    </row>
    <row r="17" spans="1:10" x14ac:dyDescent="0.5">
      <c r="A17" s="553"/>
      <c r="B17" s="553"/>
      <c r="C17" s="553"/>
      <c r="D17" s="553"/>
      <c r="E17" s="553"/>
      <c r="F17" s="553"/>
      <c r="G17" s="553"/>
      <c r="H17" s="553"/>
    </row>
    <row r="18" spans="1:10" x14ac:dyDescent="0.5">
      <c r="A18" s="554" t="s">
        <v>227</v>
      </c>
      <c r="B18" s="555"/>
      <c r="C18" s="555"/>
      <c r="D18" s="555"/>
      <c r="E18" s="555"/>
      <c r="F18" s="555"/>
      <c r="G18" s="555"/>
      <c r="H18" s="556"/>
      <c r="J18" s="285"/>
    </row>
    <row r="19" spans="1:10" x14ac:dyDescent="0.5">
      <c r="A19" s="549"/>
      <c r="B19" s="550"/>
      <c r="C19" s="550"/>
      <c r="D19" s="550"/>
      <c r="E19" s="550"/>
      <c r="F19" s="550"/>
      <c r="G19" s="550"/>
      <c r="H19" s="551"/>
    </row>
    <row r="20" spans="1:10" x14ac:dyDescent="0.5">
      <c r="A20" s="286"/>
      <c r="B20" s="286"/>
      <c r="C20" s="286"/>
      <c r="D20" s="286"/>
      <c r="E20" s="286"/>
      <c r="F20" s="286"/>
      <c r="G20" s="286"/>
      <c r="H20" s="286"/>
    </row>
    <row r="21" spans="1:10" s="323" customFormat="1" x14ac:dyDescent="0.5">
      <c r="A21" s="286"/>
      <c r="B21" s="286"/>
      <c r="C21" s="286"/>
      <c r="D21" s="286"/>
      <c r="E21" s="286"/>
      <c r="F21" s="286"/>
      <c r="G21" s="286"/>
      <c r="H21" s="286"/>
      <c r="I21" s="265"/>
    </row>
    <row r="22" spans="1:10" s="323" customFormat="1" x14ac:dyDescent="0.5">
      <c r="A22" s="536" t="s">
        <v>561</v>
      </c>
      <c r="B22" s="537"/>
      <c r="C22" s="557" t="str">
        <f>'Quadro Geral'!C39</f>
        <v>Manutenção das atividades da unidade de tecnologia da informação</v>
      </c>
      <c r="D22" s="557"/>
      <c r="E22" s="557"/>
      <c r="F22" s="557"/>
      <c r="G22" s="557"/>
      <c r="H22" s="558"/>
      <c r="I22" s="265"/>
    </row>
    <row r="23" spans="1:10" s="323" customFormat="1" x14ac:dyDescent="0.5">
      <c r="A23" s="537" t="s">
        <v>34</v>
      </c>
      <c r="B23" s="537"/>
      <c r="C23" s="557" t="str">
        <f>'Quadro Geral'!E39</f>
        <v>Construir cultura organizacional adequada à estratégia</v>
      </c>
      <c r="D23" s="557"/>
      <c r="E23" s="557"/>
      <c r="F23" s="557"/>
      <c r="G23" s="557"/>
      <c r="H23" s="558"/>
      <c r="I23" s="265"/>
    </row>
    <row r="24" spans="1:10" s="323" customFormat="1" x14ac:dyDescent="0.5">
      <c r="A24" s="303"/>
      <c r="B24" s="303"/>
      <c r="C24" s="303"/>
      <c r="D24" s="270"/>
      <c r="E24" s="270"/>
      <c r="F24" s="270"/>
      <c r="G24" s="270" t="s">
        <v>155</v>
      </c>
      <c r="H24" s="270"/>
      <c r="I24" s="265"/>
    </row>
    <row r="25" spans="1:10" s="323" customFormat="1" x14ac:dyDescent="0.5">
      <c r="A25" s="540" t="s">
        <v>562</v>
      </c>
      <c r="B25" s="541"/>
      <c r="C25" s="541"/>
      <c r="D25" s="540" t="s">
        <v>563</v>
      </c>
      <c r="E25" s="541"/>
      <c r="F25" s="542"/>
      <c r="G25" s="543" t="s">
        <v>564</v>
      </c>
      <c r="H25" s="544"/>
      <c r="I25" s="265"/>
    </row>
    <row r="26" spans="1:10" s="323" customFormat="1" x14ac:dyDescent="0.5">
      <c r="A26" s="540" t="s">
        <v>565</v>
      </c>
      <c r="B26" s="541"/>
      <c r="C26" s="542"/>
      <c r="D26" s="540" t="s">
        <v>566</v>
      </c>
      <c r="E26" s="542"/>
      <c r="F26" s="545" t="s">
        <v>567</v>
      </c>
      <c r="G26" s="546" t="s">
        <v>568</v>
      </c>
      <c r="H26" s="546" t="s">
        <v>569</v>
      </c>
      <c r="I26" s="265"/>
    </row>
    <row r="27" spans="1:10" s="323" customFormat="1" ht="46.8" x14ac:dyDescent="0.5">
      <c r="A27" s="301" t="s">
        <v>570</v>
      </c>
      <c r="B27" s="301" t="s">
        <v>571</v>
      </c>
      <c r="C27" s="276" t="s">
        <v>572</v>
      </c>
      <c r="D27" s="301" t="s">
        <v>573</v>
      </c>
      <c r="E27" s="301" t="s">
        <v>574</v>
      </c>
      <c r="F27" s="545"/>
      <c r="G27" s="547"/>
      <c r="H27" s="547"/>
      <c r="I27" s="265"/>
    </row>
    <row r="28" spans="1:10" s="323" customFormat="1" x14ac:dyDescent="0.5">
      <c r="A28" s="319"/>
      <c r="B28" s="297" t="s">
        <v>678</v>
      </c>
      <c r="C28" s="319"/>
      <c r="D28" s="13">
        <v>18398</v>
      </c>
      <c r="E28" s="320">
        <v>13528</v>
      </c>
      <c r="F28" s="277">
        <f t="shared" ref="F28:F39" si="2">IFERROR(E28/D28*100-100,)</f>
        <v>-26.470268507446463</v>
      </c>
      <c r="G28" s="13"/>
      <c r="H28" s="278">
        <f t="shared" ref="H28:H39" si="3">IFERROR(G28/E28*100,)</f>
        <v>0</v>
      </c>
      <c r="I28" s="265"/>
    </row>
    <row r="29" spans="1:10" s="323" customFormat="1" x14ac:dyDescent="0.5">
      <c r="A29" s="319"/>
      <c r="B29" s="297" t="s">
        <v>679</v>
      </c>
      <c r="C29" s="319"/>
      <c r="D29" s="13">
        <v>29562</v>
      </c>
      <c r="E29" s="320">
        <v>18300</v>
      </c>
      <c r="F29" s="277">
        <f t="shared" si="2"/>
        <v>-38.096204586969762</v>
      </c>
      <c r="G29" s="13"/>
      <c r="H29" s="278">
        <f t="shared" si="3"/>
        <v>0</v>
      </c>
      <c r="I29" s="265"/>
    </row>
    <row r="30" spans="1:10" s="323" customFormat="1" x14ac:dyDescent="0.5">
      <c r="A30" s="319"/>
      <c r="B30" s="297" t="s">
        <v>680</v>
      </c>
      <c r="C30" s="319"/>
      <c r="D30" s="13">
        <v>30000</v>
      </c>
      <c r="E30" s="13">
        <v>475000</v>
      </c>
      <c r="F30" s="277">
        <f t="shared" si="2"/>
        <v>1483.3333333333335</v>
      </c>
      <c r="G30" s="13"/>
      <c r="H30" s="278">
        <f t="shared" si="3"/>
        <v>0</v>
      </c>
      <c r="I30" s="265"/>
    </row>
    <row r="31" spans="1:10" s="323" customFormat="1" x14ac:dyDescent="0.5">
      <c r="A31" s="319"/>
      <c r="B31" s="297" t="s">
        <v>681</v>
      </c>
      <c r="C31" s="319"/>
      <c r="D31" s="13">
        <v>5000</v>
      </c>
      <c r="E31" s="320">
        <v>0</v>
      </c>
      <c r="F31" s="277">
        <f t="shared" si="2"/>
        <v>-100</v>
      </c>
      <c r="G31" s="13"/>
      <c r="H31" s="278">
        <f t="shared" si="3"/>
        <v>0</v>
      </c>
      <c r="I31" s="265"/>
    </row>
    <row r="32" spans="1:10" s="323" customFormat="1" x14ac:dyDescent="0.5">
      <c r="A32" s="319"/>
      <c r="B32" s="297" t="s">
        <v>682</v>
      </c>
      <c r="C32" s="319"/>
      <c r="D32" s="13">
        <v>50677</v>
      </c>
      <c r="E32" s="320">
        <v>26940</v>
      </c>
      <c r="F32" s="277">
        <f t="shared" si="2"/>
        <v>-46.839789253507512</v>
      </c>
      <c r="G32" s="13"/>
      <c r="H32" s="278">
        <f t="shared" si="3"/>
        <v>0</v>
      </c>
      <c r="I32" s="265"/>
    </row>
    <row r="33" spans="1:9" s="323" customFormat="1" x14ac:dyDescent="0.5">
      <c r="A33" s="319"/>
      <c r="B33" s="297" t="s">
        <v>683</v>
      </c>
      <c r="C33" s="319"/>
      <c r="D33" s="13">
        <v>24375</v>
      </c>
      <c r="E33" s="13">
        <v>0</v>
      </c>
      <c r="F33" s="277">
        <f t="shared" si="2"/>
        <v>-100</v>
      </c>
      <c r="G33" s="13"/>
      <c r="H33" s="278">
        <f t="shared" si="3"/>
        <v>0</v>
      </c>
      <c r="I33" s="265"/>
    </row>
    <row r="34" spans="1:9" s="323" customFormat="1" x14ac:dyDescent="0.5">
      <c r="A34" s="319"/>
      <c r="B34" s="297" t="s">
        <v>693</v>
      </c>
      <c r="C34" s="319"/>
      <c r="D34" s="13">
        <v>0</v>
      </c>
      <c r="E34" s="320">
        <v>57384</v>
      </c>
      <c r="F34" s="277">
        <f t="shared" si="2"/>
        <v>0</v>
      </c>
      <c r="G34" s="13"/>
      <c r="H34" s="278">
        <f t="shared" si="3"/>
        <v>0</v>
      </c>
      <c r="I34" s="265"/>
    </row>
    <row r="35" spans="1:9" s="323" customFormat="1" x14ac:dyDescent="0.5">
      <c r="A35" s="319"/>
      <c r="B35" s="297" t="s">
        <v>685</v>
      </c>
      <c r="C35" s="319"/>
      <c r="D35" s="13">
        <v>13500</v>
      </c>
      <c r="E35" s="320"/>
      <c r="F35" s="277">
        <f t="shared" si="2"/>
        <v>-100</v>
      </c>
      <c r="G35" s="13"/>
      <c r="H35" s="278">
        <f t="shared" si="3"/>
        <v>0</v>
      </c>
      <c r="I35" s="265"/>
    </row>
    <row r="36" spans="1:9" s="323" customFormat="1" x14ac:dyDescent="0.5">
      <c r="A36" s="319"/>
      <c r="B36" s="297" t="s">
        <v>686</v>
      </c>
      <c r="C36" s="319"/>
      <c r="D36" s="13">
        <v>22000</v>
      </c>
      <c r="E36" s="13">
        <v>0</v>
      </c>
      <c r="F36" s="277">
        <f t="shared" si="2"/>
        <v>-100</v>
      </c>
      <c r="G36" s="13"/>
      <c r="H36" s="278">
        <f t="shared" si="3"/>
        <v>0</v>
      </c>
      <c r="I36" s="265"/>
    </row>
    <row r="37" spans="1:9" s="326" customFormat="1" x14ac:dyDescent="0.5">
      <c r="A37" s="319"/>
      <c r="B37" s="297" t="s">
        <v>692</v>
      </c>
      <c r="C37" s="319"/>
      <c r="D37" s="13">
        <v>0</v>
      </c>
      <c r="E37" s="320">
        <v>12100</v>
      </c>
      <c r="F37" s="277">
        <f t="shared" si="2"/>
        <v>0</v>
      </c>
      <c r="G37" s="13"/>
      <c r="H37" s="278"/>
      <c r="I37" s="265"/>
    </row>
    <row r="38" spans="1:9" s="347" customFormat="1" x14ac:dyDescent="0.5">
      <c r="A38" s="319"/>
      <c r="B38" s="297" t="s">
        <v>689</v>
      </c>
      <c r="C38" s="319"/>
      <c r="D38" s="13">
        <v>0</v>
      </c>
      <c r="E38" s="320">
        <v>2000</v>
      </c>
      <c r="F38" s="277">
        <f t="shared" si="2"/>
        <v>0</v>
      </c>
      <c r="G38" s="13"/>
      <c r="H38" s="278"/>
      <c r="I38" s="265"/>
    </row>
    <row r="39" spans="1:9" s="323" customFormat="1" x14ac:dyDescent="0.5">
      <c r="A39" s="552" t="s">
        <v>0</v>
      </c>
      <c r="B39" s="552"/>
      <c r="C39" s="552"/>
      <c r="D39" s="280">
        <f>SUM(D28:D38)</f>
        <v>193512</v>
      </c>
      <c r="E39" s="280">
        <f>SUM(E28:E38)</f>
        <v>605252</v>
      </c>
      <c r="F39" s="281">
        <f t="shared" si="2"/>
        <v>212.77233453222539</v>
      </c>
      <c r="G39" s="280">
        <f>SUM(G28:G36)</f>
        <v>0</v>
      </c>
      <c r="H39" s="282">
        <f t="shared" si="3"/>
        <v>0</v>
      </c>
      <c r="I39" s="265"/>
    </row>
    <row r="40" spans="1:9" s="323" customFormat="1" x14ac:dyDescent="0.5">
      <c r="A40" s="553"/>
      <c r="B40" s="553"/>
      <c r="C40" s="553"/>
      <c r="D40" s="553"/>
      <c r="E40" s="553"/>
      <c r="F40" s="553"/>
      <c r="G40" s="553"/>
      <c r="H40" s="553"/>
      <c r="I40" s="265"/>
    </row>
    <row r="41" spans="1:9" s="323" customFormat="1" x14ac:dyDescent="0.5">
      <c r="A41" s="554" t="s">
        <v>227</v>
      </c>
      <c r="B41" s="555"/>
      <c r="C41" s="555"/>
      <c r="D41" s="555"/>
      <c r="E41" s="555"/>
      <c r="F41" s="555"/>
      <c r="G41" s="555"/>
      <c r="H41" s="556"/>
      <c r="I41" s="265"/>
    </row>
    <row r="42" spans="1:9" s="323" customFormat="1" x14ac:dyDescent="0.5">
      <c r="A42" s="549"/>
      <c r="B42" s="550"/>
      <c r="C42" s="550"/>
      <c r="D42" s="550"/>
      <c r="E42" s="550"/>
      <c r="F42" s="550"/>
      <c r="G42" s="550"/>
      <c r="H42" s="551"/>
      <c r="I42" s="265"/>
    </row>
    <row r="43" spans="1:9" s="323" customFormat="1" x14ac:dyDescent="0.5">
      <c r="A43" s="286"/>
      <c r="B43" s="286"/>
      <c r="C43" s="286"/>
      <c r="D43" s="286"/>
      <c r="E43" s="286"/>
      <c r="F43" s="286"/>
      <c r="G43" s="286"/>
      <c r="H43" s="286"/>
      <c r="I43" s="265"/>
    </row>
    <row r="44" spans="1:9" s="323" customFormat="1" x14ac:dyDescent="0.5">
      <c r="A44" s="286"/>
      <c r="B44" s="286"/>
      <c r="C44" s="286"/>
      <c r="D44" s="286"/>
      <c r="E44" s="286"/>
      <c r="F44" s="286"/>
      <c r="G44" s="286"/>
      <c r="H44" s="286"/>
      <c r="I44" s="265"/>
    </row>
    <row r="45" spans="1:9" s="323" customFormat="1" x14ac:dyDescent="0.5">
      <c r="A45" s="536" t="s">
        <v>561</v>
      </c>
      <c r="B45" s="537"/>
      <c r="C45" s="565" t="str">
        <f>'Quadro Geral'!C40</f>
        <v>Manutenção das atividades de envio de bens e documentos</v>
      </c>
      <c r="D45" s="565"/>
      <c r="E45" s="565"/>
      <c r="F45" s="565"/>
      <c r="G45" s="565"/>
      <c r="H45" s="566"/>
      <c r="I45" s="265"/>
    </row>
    <row r="46" spans="1:9" s="323" customFormat="1" x14ac:dyDescent="0.5">
      <c r="A46" s="537" t="s">
        <v>34</v>
      </c>
      <c r="B46" s="537"/>
      <c r="C46" s="557" t="str">
        <f>'Quadro Geral'!E40</f>
        <v>Construir cultura organizacional adequada à estratégia</v>
      </c>
      <c r="D46" s="557"/>
      <c r="E46" s="557"/>
      <c r="F46" s="557"/>
      <c r="G46" s="557"/>
      <c r="H46" s="558"/>
      <c r="I46" s="265"/>
    </row>
    <row r="47" spans="1:9" s="323" customFormat="1" x14ac:dyDescent="0.5">
      <c r="A47" s="303"/>
      <c r="B47" s="303"/>
      <c r="C47" s="303"/>
      <c r="D47" s="270"/>
      <c r="E47" s="270"/>
      <c r="F47" s="270"/>
      <c r="G47" s="270" t="s">
        <v>155</v>
      </c>
      <c r="H47" s="270"/>
      <c r="I47" s="265"/>
    </row>
    <row r="48" spans="1:9" s="323" customFormat="1" x14ac:dyDescent="0.5">
      <c r="A48" s="540" t="s">
        <v>562</v>
      </c>
      <c r="B48" s="541"/>
      <c r="C48" s="541"/>
      <c r="D48" s="540" t="s">
        <v>563</v>
      </c>
      <c r="E48" s="541"/>
      <c r="F48" s="542"/>
      <c r="G48" s="543" t="s">
        <v>564</v>
      </c>
      <c r="H48" s="544"/>
      <c r="I48" s="265"/>
    </row>
    <row r="49" spans="1:9" s="323" customFormat="1" x14ac:dyDescent="0.5">
      <c r="A49" s="540" t="s">
        <v>565</v>
      </c>
      <c r="B49" s="541"/>
      <c r="C49" s="542"/>
      <c r="D49" s="540" t="s">
        <v>566</v>
      </c>
      <c r="E49" s="542"/>
      <c r="F49" s="545" t="s">
        <v>567</v>
      </c>
      <c r="G49" s="546" t="s">
        <v>568</v>
      </c>
      <c r="H49" s="546" t="s">
        <v>569</v>
      </c>
      <c r="I49" s="265"/>
    </row>
    <row r="50" spans="1:9" s="323" customFormat="1" ht="46.8" x14ac:dyDescent="0.5">
      <c r="A50" s="301" t="s">
        <v>570</v>
      </c>
      <c r="B50" s="301" t="s">
        <v>571</v>
      </c>
      <c r="C50" s="276" t="s">
        <v>572</v>
      </c>
      <c r="D50" s="301" t="s">
        <v>573</v>
      </c>
      <c r="E50" s="301" t="s">
        <v>574</v>
      </c>
      <c r="F50" s="545"/>
      <c r="G50" s="547"/>
      <c r="H50" s="547"/>
      <c r="I50" s="265"/>
    </row>
    <row r="51" spans="1:9" s="323" customFormat="1" x14ac:dyDescent="0.5">
      <c r="A51" s="319"/>
      <c r="B51" s="265" t="s">
        <v>695</v>
      </c>
      <c r="C51" s="319"/>
      <c r="D51" s="13">
        <v>45934</v>
      </c>
      <c r="E51" s="13">
        <v>0</v>
      </c>
      <c r="F51" s="277">
        <f t="shared" ref="F51:F52" si="4">IFERROR(E51/D51*100-100,)</f>
        <v>-100</v>
      </c>
      <c r="G51" s="13"/>
      <c r="H51" s="278">
        <f t="shared" ref="H51:H52" si="5">IFERROR(G51/E51*100,)</f>
        <v>0</v>
      </c>
      <c r="I51" s="265"/>
    </row>
    <row r="52" spans="1:9" s="323" customFormat="1" x14ac:dyDescent="0.5">
      <c r="A52" s="552" t="s">
        <v>0</v>
      </c>
      <c r="B52" s="552"/>
      <c r="C52" s="552"/>
      <c r="D52" s="280">
        <f>SUM(D51:D51)</f>
        <v>45934</v>
      </c>
      <c r="E52" s="280">
        <f>SUM(E51:E51)</f>
        <v>0</v>
      </c>
      <c r="F52" s="281">
        <f t="shared" si="4"/>
        <v>-100</v>
      </c>
      <c r="G52" s="280">
        <f>SUM(G51:G51)</f>
        <v>0</v>
      </c>
      <c r="H52" s="282">
        <f t="shared" si="5"/>
        <v>0</v>
      </c>
      <c r="I52" s="265"/>
    </row>
    <row r="53" spans="1:9" s="323" customFormat="1" x14ac:dyDescent="0.5">
      <c r="A53" s="553"/>
      <c r="B53" s="553"/>
      <c r="C53" s="553"/>
      <c r="D53" s="553"/>
      <c r="E53" s="553"/>
      <c r="F53" s="553"/>
      <c r="G53" s="553"/>
      <c r="H53" s="553"/>
      <c r="I53" s="265"/>
    </row>
    <row r="54" spans="1:9" s="323" customFormat="1" x14ac:dyDescent="0.5">
      <c r="A54" s="554" t="s">
        <v>227</v>
      </c>
      <c r="B54" s="555"/>
      <c r="C54" s="555"/>
      <c r="D54" s="555"/>
      <c r="E54" s="555"/>
      <c r="F54" s="555"/>
      <c r="G54" s="555"/>
      <c r="H54" s="556"/>
      <c r="I54" s="265"/>
    </row>
    <row r="55" spans="1:9" s="323" customFormat="1" x14ac:dyDescent="0.5">
      <c r="A55" s="549"/>
      <c r="B55" s="550"/>
      <c r="C55" s="550"/>
      <c r="D55" s="550"/>
      <c r="E55" s="550"/>
      <c r="F55" s="550"/>
      <c r="G55" s="550"/>
      <c r="H55" s="551"/>
      <c r="I55" s="265"/>
    </row>
    <row r="56" spans="1:9" s="323" customFormat="1" x14ac:dyDescent="0.5">
      <c r="A56" s="286"/>
      <c r="B56" s="286"/>
      <c r="C56" s="286"/>
      <c r="D56" s="286"/>
      <c r="E56" s="286"/>
      <c r="F56" s="286"/>
      <c r="G56" s="286"/>
      <c r="H56" s="286"/>
      <c r="I56" s="265"/>
    </row>
    <row r="57" spans="1:9" s="323" customFormat="1" x14ac:dyDescent="0.5">
      <c r="A57" s="286"/>
      <c r="B57" s="286"/>
      <c r="C57" s="286"/>
      <c r="D57" s="286"/>
      <c r="E57" s="286"/>
      <c r="F57" s="286"/>
      <c r="G57" s="286"/>
      <c r="H57" s="286"/>
      <c r="I57" s="265"/>
    </row>
    <row r="58" spans="1:9" s="323" customFormat="1" x14ac:dyDescent="0.5">
      <c r="A58" s="536" t="s">
        <v>561</v>
      </c>
      <c r="B58" s="537"/>
      <c r="C58" s="557" t="str">
        <f>'Quadro Geral'!C36</f>
        <v>Documentação e memória</v>
      </c>
      <c r="D58" s="557"/>
      <c r="E58" s="557"/>
      <c r="F58" s="557"/>
      <c r="G58" s="557"/>
      <c r="H58" s="558"/>
      <c r="I58" s="265"/>
    </row>
    <row r="59" spans="1:9" s="323" customFormat="1" x14ac:dyDescent="0.5">
      <c r="A59" s="537" t="s">
        <v>34</v>
      </c>
      <c r="B59" s="537"/>
      <c r="C59" s="557" t="str">
        <f>'Quadro Geral'!E36</f>
        <v>Assegurar a eficácia no atendimento e no relacionamento com os Arquitetos e Urbanistas e a Sociedade</v>
      </c>
      <c r="D59" s="557"/>
      <c r="E59" s="557"/>
      <c r="F59" s="557"/>
      <c r="G59" s="557"/>
      <c r="H59" s="558"/>
      <c r="I59" s="265"/>
    </row>
    <row r="60" spans="1:9" s="323" customFormat="1" x14ac:dyDescent="0.5">
      <c r="A60" s="303"/>
      <c r="B60" s="303"/>
      <c r="C60" s="303"/>
      <c r="D60" s="270"/>
      <c r="E60" s="270"/>
      <c r="F60" s="270"/>
      <c r="G60" s="270" t="s">
        <v>155</v>
      </c>
      <c r="H60" s="270"/>
      <c r="I60" s="265"/>
    </row>
    <row r="61" spans="1:9" s="323" customFormat="1" x14ac:dyDescent="0.5">
      <c r="A61" s="540" t="s">
        <v>562</v>
      </c>
      <c r="B61" s="541"/>
      <c r="C61" s="541"/>
      <c r="D61" s="540" t="s">
        <v>563</v>
      </c>
      <c r="E61" s="541"/>
      <c r="F61" s="542"/>
      <c r="G61" s="543" t="s">
        <v>564</v>
      </c>
      <c r="H61" s="544"/>
      <c r="I61" s="265"/>
    </row>
    <row r="62" spans="1:9" s="323" customFormat="1" x14ac:dyDescent="0.5">
      <c r="A62" s="540" t="s">
        <v>565</v>
      </c>
      <c r="B62" s="541"/>
      <c r="C62" s="542"/>
      <c r="D62" s="540" t="s">
        <v>566</v>
      </c>
      <c r="E62" s="542"/>
      <c r="F62" s="545" t="s">
        <v>567</v>
      </c>
      <c r="G62" s="546" t="s">
        <v>568</v>
      </c>
      <c r="H62" s="546" t="s">
        <v>569</v>
      </c>
      <c r="I62" s="265"/>
    </row>
    <row r="63" spans="1:9" s="323" customFormat="1" ht="46.8" x14ac:dyDescent="0.5">
      <c r="A63" s="301" t="s">
        <v>570</v>
      </c>
      <c r="B63" s="301" t="s">
        <v>571</v>
      </c>
      <c r="C63" s="276" t="s">
        <v>572</v>
      </c>
      <c r="D63" s="301" t="s">
        <v>573</v>
      </c>
      <c r="E63" s="301" t="s">
        <v>574</v>
      </c>
      <c r="F63" s="545"/>
      <c r="G63" s="547"/>
      <c r="H63" s="547"/>
      <c r="I63" s="265"/>
    </row>
    <row r="64" spans="1:9" s="347" customFormat="1" ht="31.2" x14ac:dyDescent="0.5">
      <c r="A64" s="363"/>
      <c r="B64" s="364" t="s">
        <v>696</v>
      </c>
      <c r="C64" s="363"/>
      <c r="D64" s="324">
        <v>51700.5</v>
      </c>
      <c r="E64" s="324">
        <v>0</v>
      </c>
      <c r="F64" s="277">
        <f t="shared" ref="F64:F67" si="6">IFERROR(E64/D64*100-100,)</f>
        <v>-100</v>
      </c>
      <c r="G64" s="302"/>
      <c r="H64" s="302"/>
      <c r="I64" s="265"/>
    </row>
    <row r="65" spans="1:9" s="323" customFormat="1" x14ac:dyDescent="0.5">
      <c r="A65" s="321"/>
      <c r="B65" s="304" t="s">
        <v>695</v>
      </c>
      <c r="C65" s="321"/>
      <c r="D65" s="324">
        <v>0</v>
      </c>
      <c r="E65" s="324">
        <v>48900</v>
      </c>
      <c r="F65" s="277">
        <f t="shared" si="6"/>
        <v>0</v>
      </c>
      <c r="G65" s="13"/>
      <c r="H65" s="278">
        <f t="shared" ref="H65:H68" si="7">IFERROR(G65/E65*100,)</f>
        <v>0</v>
      </c>
      <c r="I65" s="265"/>
    </row>
    <row r="66" spans="1:9" s="326" customFormat="1" ht="33.6" x14ac:dyDescent="0.5">
      <c r="A66" s="319"/>
      <c r="B66" s="304" t="s">
        <v>742</v>
      </c>
      <c r="C66" s="319"/>
      <c r="D66" s="13">
        <v>0</v>
      </c>
      <c r="E66" s="13">
        <v>57600</v>
      </c>
      <c r="F66" s="277">
        <f t="shared" si="6"/>
        <v>0</v>
      </c>
      <c r="G66" s="13"/>
      <c r="H66" s="278"/>
      <c r="I66" s="265"/>
    </row>
    <row r="67" spans="1:9" s="347" customFormat="1" x14ac:dyDescent="0.5">
      <c r="A67" s="319"/>
      <c r="B67" s="304" t="s">
        <v>749</v>
      </c>
      <c r="C67" s="319"/>
      <c r="D67" s="13">
        <v>0</v>
      </c>
      <c r="E67" s="13">
        <v>18000</v>
      </c>
      <c r="F67" s="277">
        <f t="shared" si="6"/>
        <v>0</v>
      </c>
      <c r="G67" s="13"/>
      <c r="H67" s="278"/>
      <c r="I67" s="265"/>
    </row>
    <row r="68" spans="1:9" s="323" customFormat="1" x14ac:dyDescent="0.5">
      <c r="A68" s="552" t="s">
        <v>0</v>
      </c>
      <c r="B68" s="552"/>
      <c r="C68" s="552"/>
      <c r="D68" s="280">
        <f>SUM(D64:D67)</f>
        <v>51700.5</v>
      </c>
      <c r="E68" s="280">
        <f>SUM(E64:E67)</f>
        <v>124500</v>
      </c>
      <c r="F68" s="280">
        <f t="shared" ref="F68" si="8">SUM(F64:F66)</f>
        <v>-100</v>
      </c>
      <c r="G68" s="280">
        <f>SUM(G65:G65)</f>
        <v>0</v>
      </c>
      <c r="H68" s="282">
        <f t="shared" si="7"/>
        <v>0</v>
      </c>
      <c r="I68" s="265"/>
    </row>
    <row r="69" spans="1:9" s="323" customFormat="1" x14ac:dyDescent="0.5">
      <c r="A69" s="553"/>
      <c r="B69" s="553"/>
      <c r="C69" s="553"/>
      <c r="D69" s="553"/>
      <c r="E69" s="553"/>
      <c r="F69" s="553"/>
      <c r="G69" s="553"/>
      <c r="H69" s="553"/>
      <c r="I69" s="265"/>
    </row>
    <row r="70" spans="1:9" s="323" customFormat="1" x14ac:dyDescent="0.5">
      <c r="A70" s="554" t="s">
        <v>227</v>
      </c>
      <c r="B70" s="555"/>
      <c r="C70" s="555"/>
      <c r="D70" s="555"/>
      <c r="E70" s="555"/>
      <c r="F70" s="555"/>
      <c r="G70" s="555"/>
      <c r="H70" s="556"/>
      <c r="I70" s="265"/>
    </row>
    <row r="71" spans="1:9" s="323" customFormat="1" x14ac:dyDescent="0.5">
      <c r="A71" s="549"/>
      <c r="B71" s="550"/>
      <c r="C71" s="550"/>
      <c r="D71" s="550"/>
      <c r="E71" s="550"/>
      <c r="F71" s="550"/>
      <c r="G71" s="550"/>
      <c r="H71" s="551"/>
      <c r="I71" s="265"/>
    </row>
    <row r="72" spans="1:9" s="323" customFormat="1" x14ac:dyDescent="0.5">
      <c r="A72" s="286"/>
      <c r="B72" s="286"/>
      <c r="C72" s="286"/>
      <c r="D72" s="286"/>
      <c r="E72" s="286"/>
      <c r="F72" s="286"/>
      <c r="G72" s="286"/>
      <c r="H72" s="286"/>
      <c r="I72" s="265"/>
    </row>
    <row r="73" spans="1:9" s="323" customFormat="1" x14ac:dyDescent="0.5">
      <c r="A73" s="286"/>
      <c r="B73" s="286"/>
      <c r="C73" s="286"/>
      <c r="D73" s="286"/>
      <c r="E73" s="286"/>
      <c r="F73" s="286"/>
      <c r="G73" s="286"/>
      <c r="H73" s="286"/>
      <c r="I73" s="265"/>
    </row>
    <row r="74" spans="1:9" s="323" customFormat="1" x14ac:dyDescent="0.5">
      <c r="A74" s="536" t="s">
        <v>561</v>
      </c>
      <c r="B74" s="537"/>
      <c r="C74" s="557" t="str">
        <f>'Quadro Geral'!C37</f>
        <v>Promoção de eventos</v>
      </c>
      <c r="D74" s="557"/>
      <c r="E74" s="557"/>
      <c r="F74" s="557"/>
      <c r="G74" s="557"/>
      <c r="H74" s="558"/>
      <c r="I74" s="265"/>
    </row>
    <row r="75" spans="1:9" s="323" customFormat="1" x14ac:dyDescent="0.5">
      <c r="A75" s="537" t="s">
        <v>34</v>
      </c>
      <c r="B75" s="537"/>
      <c r="C75" s="557" t="str">
        <f>'Quadro Geral'!E37</f>
        <v>Assegurar a eficácia no relacionamento e comunicação com a sociedade</v>
      </c>
      <c r="D75" s="557"/>
      <c r="E75" s="557"/>
      <c r="F75" s="557"/>
      <c r="G75" s="557"/>
      <c r="H75" s="558"/>
      <c r="I75" s="265"/>
    </row>
    <row r="76" spans="1:9" s="323" customFormat="1" x14ac:dyDescent="0.5">
      <c r="A76" s="303"/>
      <c r="B76" s="303"/>
      <c r="C76" s="303"/>
      <c r="D76" s="270"/>
      <c r="E76" s="270"/>
      <c r="F76" s="270"/>
      <c r="G76" s="270" t="s">
        <v>155</v>
      </c>
      <c r="H76" s="270"/>
      <c r="I76" s="265"/>
    </row>
    <row r="77" spans="1:9" s="323" customFormat="1" x14ac:dyDescent="0.5">
      <c r="A77" s="540" t="s">
        <v>562</v>
      </c>
      <c r="B77" s="541"/>
      <c r="C77" s="541"/>
      <c r="D77" s="540" t="s">
        <v>563</v>
      </c>
      <c r="E77" s="541"/>
      <c r="F77" s="542"/>
      <c r="G77" s="543" t="s">
        <v>564</v>
      </c>
      <c r="H77" s="544"/>
      <c r="I77" s="265"/>
    </row>
    <row r="78" spans="1:9" s="323" customFormat="1" x14ac:dyDescent="0.5">
      <c r="A78" s="540" t="s">
        <v>565</v>
      </c>
      <c r="B78" s="541"/>
      <c r="C78" s="542"/>
      <c r="D78" s="540" t="s">
        <v>566</v>
      </c>
      <c r="E78" s="542"/>
      <c r="F78" s="545" t="s">
        <v>567</v>
      </c>
      <c r="G78" s="546" t="s">
        <v>568</v>
      </c>
      <c r="H78" s="546" t="s">
        <v>569</v>
      </c>
      <c r="I78" s="265"/>
    </row>
    <row r="79" spans="1:9" s="323" customFormat="1" ht="46.8" x14ac:dyDescent="0.5">
      <c r="A79" s="301" t="s">
        <v>570</v>
      </c>
      <c r="B79" s="301" t="s">
        <v>571</v>
      </c>
      <c r="C79" s="276" t="s">
        <v>572</v>
      </c>
      <c r="D79" s="301" t="s">
        <v>573</v>
      </c>
      <c r="E79" s="301" t="s">
        <v>574</v>
      </c>
      <c r="F79" s="545"/>
      <c r="G79" s="547"/>
      <c r="H79" s="547"/>
      <c r="I79" s="265"/>
    </row>
    <row r="80" spans="1:9" s="323" customFormat="1" x14ac:dyDescent="0.5">
      <c r="A80" s="319"/>
      <c r="B80" s="297" t="s">
        <v>697</v>
      </c>
      <c r="C80" s="319"/>
      <c r="D80" s="13">
        <v>122947.07</v>
      </c>
      <c r="E80" s="13">
        <v>0</v>
      </c>
      <c r="F80" s="277">
        <f t="shared" ref="F80:F84" si="9">IFERROR(E80/D80*100-100,)</f>
        <v>-100</v>
      </c>
      <c r="G80" s="13"/>
      <c r="H80" s="278">
        <f t="shared" ref="H80:H84" si="10">IFERROR(G80/E80*100,)</f>
        <v>0</v>
      </c>
      <c r="I80" s="265"/>
    </row>
    <row r="81" spans="1:9" s="326" customFormat="1" x14ac:dyDescent="0.5">
      <c r="A81" s="322"/>
      <c r="B81" s="319" t="s">
        <v>698</v>
      </c>
      <c r="C81" s="322"/>
      <c r="D81" s="13">
        <v>15000</v>
      </c>
      <c r="E81" s="13">
        <v>0</v>
      </c>
      <c r="F81" s="277"/>
      <c r="G81" s="13"/>
      <c r="H81" s="278"/>
      <c r="I81" s="265"/>
    </row>
    <row r="82" spans="1:9" s="326" customFormat="1" x14ac:dyDescent="0.5">
      <c r="A82" s="322"/>
      <c r="B82" s="319" t="s">
        <v>699</v>
      </c>
      <c r="C82" s="322"/>
      <c r="D82" s="13">
        <v>46430</v>
      </c>
      <c r="E82" s="13" t="s">
        <v>750</v>
      </c>
      <c r="F82" s="277"/>
      <c r="G82" s="13"/>
      <c r="H82" s="278"/>
      <c r="I82" s="265"/>
    </row>
    <row r="83" spans="1:9" s="326" customFormat="1" ht="33.6" x14ac:dyDescent="0.5">
      <c r="A83" s="319"/>
      <c r="B83" s="304" t="s">
        <v>700</v>
      </c>
      <c r="C83" s="319"/>
      <c r="D83" s="13">
        <v>0</v>
      </c>
      <c r="E83" s="13">
        <v>11920</v>
      </c>
      <c r="F83" s="277"/>
      <c r="G83" s="13"/>
      <c r="H83" s="278"/>
      <c r="I83" s="265"/>
    </row>
    <row r="84" spans="1:9" s="323" customFormat="1" x14ac:dyDescent="0.5">
      <c r="A84" s="552" t="s">
        <v>0</v>
      </c>
      <c r="B84" s="552"/>
      <c r="C84" s="552"/>
      <c r="D84" s="280">
        <f>SUM(D80:D83)</f>
        <v>184377.07</v>
      </c>
      <c r="E84" s="280">
        <f>SUM(E80:E83)</f>
        <v>11920</v>
      </c>
      <c r="F84" s="281">
        <f t="shared" si="9"/>
        <v>-93.534987837695866</v>
      </c>
      <c r="G84" s="280">
        <f>SUM(G80:G80)</f>
        <v>0</v>
      </c>
      <c r="H84" s="282">
        <f t="shared" si="10"/>
        <v>0</v>
      </c>
      <c r="I84" s="265"/>
    </row>
    <row r="85" spans="1:9" s="323" customFormat="1" x14ac:dyDescent="0.5">
      <c r="A85" s="553"/>
      <c r="B85" s="553"/>
      <c r="C85" s="553"/>
      <c r="D85" s="553"/>
      <c r="E85" s="553"/>
      <c r="F85" s="553"/>
      <c r="G85" s="553"/>
      <c r="H85" s="553"/>
      <c r="I85" s="265"/>
    </row>
    <row r="86" spans="1:9" s="323" customFormat="1" x14ac:dyDescent="0.5">
      <c r="A86" s="554" t="s">
        <v>227</v>
      </c>
      <c r="B86" s="555"/>
      <c r="C86" s="555"/>
      <c r="D86" s="555"/>
      <c r="E86" s="555"/>
      <c r="F86" s="555"/>
      <c r="G86" s="555"/>
      <c r="H86" s="556"/>
      <c r="I86" s="265"/>
    </row>
    <row r="87" spans="1:9" s="323" customFormat="1" x14ac:dyDescent="0.5">
      <c r="A87" s="549"/>
      <c r="B87" s="550"/>
      <c r="C87" s="550"/>
      <c r="D87" s="550"/>
      <c r="E87" s="550"/>
      <c r="F87" s="550"/>
      <c r="G87" s="550"/>
      <c r="H87" s="551"/>
      <c r="I87" s="265"/>
    </row>
    <row r="88" spans="1:9" s="323" customFormat="1" x14ac:dyDescent="0.5">
      <c r="A88" s="286"/>
      <c r="B88" s="286"/>
      <c r="C88" s="286"/>
      <c r="D88" s="286"/>
      <c r="E88" s="286"/>
      <c r="F88" s="286"/>
      <c r="G88" s="286"/>
      <c r="H88" s="286"/>
      <c r="I88" s="265"/>
    </row>
    <row r="89" spans="1:9" s="323" customFormat="1" x14ac:dyDescent="0.5">
      <c r="A89" s="286"/>
      <c r="B89" s="286"/>
      <c r="C89" s="286"/>
      <c r="D89" s="286"/>
      <c r="E89" s="286"/>
      <c r="F89" s="286"/>
      <c r="G89" s="286"/>
      <c r="H89" s="286"/>
      <c r="I89" s="265"/>
    </row>
    <row r="90" spans="1:9" s="323" customFormat="1" ht="37.200000000000003" customHeight="1" x14ac:dyDescent="0.5">
      <c r="A90" s="536" t="s">
        <v>561</v>
      </c>
      <c r="B90" s="537"/>
      <c r="C90" s="538" t="str">
        <f>'Quadro Geral'!C41</f>
        <v>Projeto Especial para Desenvolvimento e Implantação do Museu da Arquitetura e Urbanismo do Rio Grande do Sul</v>
      </c>
      <c r="D90" s="538"/>
      <c r="E90" s="538"/>
      <c r="F90" s="538"/>
      <c r="G90" s="538"/>
      <c r="H90" s="539"/>
      <c r="I90" s="265"/>
    </row>
    <row r="91" spans="1:9" s="323" customFormat="1" x14ac:dyDescent="0.5">
      <c r="A91" s="537" t="s">
        <v>34</v>
      </c>
      <c r="B91" s="537"/>
      <c r="C91" s="563"/>
      <c r="D91" s="563"/>
      <c r="E91" s="563"/>
      <c r="F91" s="563"/>
      <c r="G91" s="563"/>
      <c r="H91" s="564"/>
      <c r="I91" s="265"/>
    </row>
    <row r="92" spans="1:9" s="323" customFormat="1" x14ac:dyDescent="0.5">
      <c r="A92" s="303"/>
      <c r="B92" s="303"/>
      <c r="C92" s="303"/>
      <c r="D92" s="270"/>
      <c r="E92" s="270"/>
      <c r="F92" s="270"/>
      <c r="G92" s="270" t="s">
        <v>155</v>
      </c>
      <c r="H92" s="270"/>
      <c r="I92" s="265"/>
    </row>
    <row r="93" spans="1:9" s="323" customFormat="1" x14ac:dyDescent="0.5">
      <c r="A93" s="540" t="s">
        <v>562</v>
      </c>
      <c r="B93" s="541"/>
      <c r="C93" s="541"/>
      <c r="D93" s="540" t="s">
        <v>563</v>
      </c>
      <c r="E93" s="541"/>
      <c r="F93" s="542"/>
      <c r="G93" s="543" t="s">
        <v>564</v>
      </c>
      <c r="H93" s="544"/>
      <c r="I93" s="265"/>
    </row>
    <row r="94" spans="1:9" s="323" customFormat="1" x14ac:dyDescent="0.5">
      <c r="A94" s="540" t="s">
        <v>565</v>
      </c>
      <c r="B94" s="541"/>
      <c r="C94" s="542"/>
      <c r="D94" s="540" t="s">
        <v>566</v>
      </c>
      <c r="E94" s="542"/>
      <c r="F94" s="545" t="s">
        <v>567</v>
      </c>
      <c r="G94" s="546" t="s">
        <v>568</v>
      </c>
      <c r="H94" s="546" t="s">
        <v>569</v>
      </c>
      <c r="I94" s="265"/>
    </row>
    <row r="95" spans="1:9" s="323" customFormat="1" ht="46.8" x14ac:dyDescent="0.5">
      <c r="A95" s="301" t="s">
        <v>570</v>
      </c>
      <c r="B95" s="301" t="s">
        <v>571</v>
      </c>
      <c r="C95" s="276" t="s">
        <v>572</v>
      </c>
      <c r="D95" s="301" t="s">
        <v>573</v>
      </c>
      <c r="E95" s="301" t="s">
        <v>574</v>
      </c>
      <c r="F95" s="545"/>
      <c r="G95" s="547"/>
      <c r="H95" s="547"/>
      <c r="I95" s="265"/>
    </row>
    <row r="96" spans="1:9" s="323" customFormat="1" ht="31.2" x14ac:dyDescent="0.5">
      <c r="A96" s="319"/>
      <c r="B96" s="297" t="s">
        <v>701</v>
      </c>
      <c r="C96" s="319"/>
      <c r="D96" s="13">
        <v>0</v>
      </c>
      <c r="E96" s="13">
        <v>150000</v>
      </c>
      <c r="F96" s="277">
        <f t="shared" ref="F96" si="11">IFERROR(E96/D96*100-100,)</f>
        <v>0</v>
      </c>
      <c r="G96" s="13"/>
      <c r="H96" s="278">
        <f t="shared" ref="H96" si="12">IFERROR(G96/E96*100,)</f>
        <v>0</v>
      </c>
      <c r="I96" s="265"/>
    </row>
    <row r="97" spans="1:9" s="323" customFormat="1" x14ac:dyDescent="0.5">
      <c r="A97" s="552" t="s">
        <v>0</v>
      </c>
      <c r="B97" s="552"/>
      <c r="C97" s="552"/>
      <c r="D97" s="280">
        <f>SUM(D96:D96)</f>
        <v>0</v>
      </c>
      <c r="E97" s="280">
        <f>SUM(E96:E96)</f>
        <v>150000</v>
      </c>
      <c r="F97" s="281">
        <f t="shared" ref="F97" si="13">IFERROR(E97/D97*100-100,)</f>
        <v>0</v>
      </c>
      <c r="G97" s="280">
        <f>SUM(G96:G96)</f>
        <v>0</v>
      </c>
      <c r="H97" s="282">
        <f t="shared" ref="H97" si="14">IFERROR(G97/E97*100,)</f>
        <v>0</v>
      </c>
      <c r="I97" s="265"/>
    </row>
    <row r="98" spans="1:9" s="323" customFormat="1" x14ac:dyDescent="0.5">
      <c r="A98" s="553"/>
      <c r="B98" s="553"/>
      <c r="C98" s="553"/>
      <c r="D98" s="553"/>
      <c r="E98" s="553"/>
      <c r="F98" s="553"/>
      <c r="G98" s="553"/>
      <c r="H98" s="553"/>
      <c r="I98" s="265"/>
    </row>
    <row r="99" spans="1:9" s="323" customFormat="1" x14ac:dyDescent="0.5">
      <c r="A99" s="554" t="s">
        <v>227</v>
      </c>
      <c r="B99" s="555"/>
      <c r="C99" s="555"/>
      <c r="D99" s="555"/>
      <c r="E99" s="555"/>
      <c r="F99" s="555"/>
      <c r="G99" s="555"/>
      <c r="H99" s="556"/>
      <c r="I99" s="265"/>
    </row>
    <row r="100" spans="1:9" s="323" customFormat="1" x14ac:dyDescent="0.5">
      <c r="A100" s="549"/>
      <c r="B100" s="550"/>
      <c r="C100" s="550"/>
      <c r="D100" s="550"/>
      <c r="E100" s="550"/>
      <c r="F100" s="550"/>
      <c r="G100" s="550"/>
      <c r="H100" s="551"/>
      <c r="I100" s="265"/>
    </row>
    <row r="101" spans="1:9" s="323" customFormat="1" x14ac:dyDescent="0.5">
      <c r="A101" s="286"/>
      <c r="B101" s="286"/>
      <c r="C101" s="286"/>
      <c r="D101" s="286"/>
      <c r="E101" s="286"/>
      <c r="F101" s="286"/>
      <c r="G101" s="286"/>
      <c r="H101" s="286"/>
      <c r="I101" s="265"/>
    </row>
    <row r="102" spans="1:9" s="323" customFormat="1" x14ac:dyDescent="0.5">
      <c r="A102" s="286"/>
      <c r="B102" s="286"/>
      <c r="C102" s="286"/>
      <c r="D102" s="286"/>
      <c r="E102" s="286"/>
      <c r="F102" s="286"/>
      <c r="G102" s="286"/>
      <c r="H102" s="286"/>
      <c r="I102" s="265"/>
    </row>
    <row r="103" spans="1:9" s="323" customFormat="1" ht="36.6" customHeight="1" x14ac:dyDescent="0.5">
      <c r="A103" s="536" t="s">
        <v>561</v>
      </c>
      <c r="B103" s="537"/>
      <c r="C103" s="557" t="str">
        <f>'Quadro Geral'!C42</f>
        <v>Projeto Especial para Análise, diagnóstico e implantação de melhorias em infraestrutura de TI</v>
      </c>
      <c r="D103" s="557"/>
      <c r="E103" s="557"/>
      <c r="F103" s="557"/>
      <c r="G103" s="557"/>
      <c r="H103" s="558"/>
      <c r="I103" s="265"/>
    </row>
    <row r="104" spans="1:9" s="323" customFormat="1" x14ac:dyDescent="0.5">
      <c r="A104" s="537" t="s">
        <v>34</v>
      </c>
      <c r="B104" s="537"/>
      <c r="C104" s="563"/>
      <c r="D104" s="563"/>
      <c r="E104" s="563"/>
      <c r="F104" s="563"/>
      <c r="G104" s="563"/>
      <c r="H104" s="564"/>
      <c r="I104" s="265"/>
    </row>
    <row r="105" spans="1:9" s="323" customFormat="1" x14ac:dyDescent="0.5">
      <c r="A105" s="303"/>
      <c r="B105" s="303"/>
      <c r="C105" s="303"/>
      <c r="D105" s="270"/>
      <c r="E105" s="270"/>
      <c r="F105" s="270"/>
      <c r="G105" s="270" t="s">
        <v>155</v>
      </c>
      <c r="H105" s="270"/>
      <c r="I105" s="265"/>
    </row>
    <row r="106" spans="1:9" s="323" customFormat="1" x14ac:dyDescent="0.5">
      <c r="A106" s="540" t="s">
        <v>562</v>
      </c>
      <c r="B106" s="541"/>
      <c r="C106" s="541"/>
      <c r="D106" s="540" t="s">
        <v>563</v>
      </c>
      <c r="E106" s="541"/>
      <c r="F106" s="542"/>
      <c r="G106" s="543" t="s">
        <v>564</v>
      </c>
      <c r="H106" s="544"/>
      <c r="I106" s="265"/>
    </row>
    <row r="107" spans="1:9" s="323" customFormat="1" x14ac:dyDescent="0.5">
      <c r="A107" s="540" t="s">
        <v>565</v>
      </c>
      <c r="B107" s="541"/>
      <c r="C107" s="542"/>
      <c r="D107" s="540" t="s">
        <v>566</v>
      </c>
      <c r="E107" s="542"/>
      <c r="F107" s="545" t="s">
        <v>567</v>
      </c>
      <c r="G107" s="546" t="s">
        <v>568</v>
      </c>
      <c r="H107" s="546" t="s">
        <v>569</v>
      </c>
      <c r="I107" s="265"/>
    </row>
    <row r="108" spans="1:9" s="323" customFormat="1" ht="46.8" x14ac:dyDescent="0.5">
      <c r="A108" s="301" t="s">
        <v>570</v>
      </c>
      <c r="B108" s="301" t="s">
        <v>571</v>
      </c>
      <c r="C108" s="276" t="s">
        <v>572</v>
      </c>
      <c r="D108" s="301" t="s">
        <v>573</v>
      </c>
      <c r="E108" s="301" t="s">
        <v>574</v>
      </c>
      <c r="F108" s="545"/>
      <c r="G108" s="547"/>
      <c r="H108" s="547"/>
      <c r="I108" s="265"/>
    </row>
    <row r="109" spans="1:9" s="323" customFormat="1" ht="31.2" x14ac:dyDescent="0.5">
      <c r="A109" s="319"/>
      <c r="B109" s="297" t="s">
        <v>702</v>
      </c>
      <c r="C109" s="319"/>
      <c r="D109" s="13">
        <v>0</v>
      </c>
      <c r="E109" s="13">
        <v>120000</v>
      </c>
      <c r="F109" s="277">
        <f t="shared" ref="F109" si="15">IFERROR(E109/D109*100-100,)</f>
        <v>0</v>
      </c>
      <c r="G109" s="13"/>
      <c r="H109" s="278">
        <f t="shared" ref="H109" si="16">IFERROR(G109/E109*100,)</f>
        <v>0</v>
      </c>
      <c r="I109" s="265"/>
    </row>
    <row r="110" spans="1:9" s="323" customFormat="1" x14ac:dyDescent="0.5">
      <c r="A110" s="552" t="s">
        <v>0</v>
      </c>
      <c r="B110" s="552"/>
      <c r="C110" s="552"/>
      <c r="D110" s="280">
        <f>SUM(D109:D109)</f>
        <v>0</v>
      </c>
      <c r="E110" s="280">
        <f>SUM(E109:E109)</f>
        <v>120000</v>
      </c>
      <c r="F110" s="281">
        <f t="shared" ref="F110" si="17">IFERROR(E110/D110*100-100,)</f>
        <v>0</v>
      </c>
      <c r="G110" s="280">
        <f>SUM(G109:G109)</f>
        <v>0</v>
      </c>
      <c r="H110" s="282">
        <f t="shared" ref="H110" si="18">IFERROR(G110/E110*100,)</f>
        <v>0</v>
      </c>
      <c r="I110" s="265"/>
    </row>
    <row r="111" spans="1:9" s="323" customFormat="1" x14ac:dyDescent="0.5">
      <c r="A111" s="553"/>
      <c r="B111" s="553"/>
      <c r="C111" s="553"/>
      <c r="D111" s="553"/>
      <c r="E111" s="553"/>
      <c r="F111" s="553"/>
      <c r="G111" s="553"/>
      <c r="H111" s="553"/>
      <c r="I111" s="265"/>
    </row>
    <row r="112" spans="1:9" s="323" customFormat="1" x14ac:dyDescent="0.5">
      <c r="A112" s="554" t="s">
        <v>227</v>
      </c>
      <c r="B112" s="555"/>
      <c r="C112" s="555"/>
      <c r="D112" s="555"/>
      <c r="E112" s="555"/>
      <c r="F112" s="555"/>
      <c r="G112" s="555"/>
      <c r="H112" s="556"/>
      <c r="I112" s="265"/>
    </row>
    <row r="113" spans="1:9" s="323" customFormat="1" x14ac:dyDescent="0.5">
      <c r="A113" s="549"/>
      <c r="B113" s="550"/>
      <c r="C113" s="550"/>
      <c r="D113" s="550"/>
      <c r="E113" s="550"/>
      <c r="F113" s="550"/>
      <c r="G113" s="550"/>
      <c r="H113" s="551"/>
      <c r="I113" s="265"/>
    </row>
    <row r="114" spans="1:9" s="323" customFormat="1" x14ac:dyDescent="0.5">
      <c r="A114" s="286"/>
      <c r="B114" s="286"/>
      <c r="C114" s="286"/>
      <c r="D114" s="286"/>
      <c r="E114" s="286"/>
      <c r="F114" s="286"/>
      <c r="G114" s="286"/>
      <c r="H114" s="286"/>
      <c r="I114" s="265"/>
    </row>
    <row r="115" spans="1:9" s="347" customFormat="1" x14ac:dyDescent="0.5">
      <c r="A115" s="286"/>
      <c r="B115" s="286"/>
      <c r="C115" s="286"/>
      <c r="D115" s="286"/>
      <c r="E115" s="286"/>
      <c r="F115" s="286"/>
      <c r="G115" s="286"/>
      <c r="H115" s="286"/>
      <c r="I115" s="265"/>
    </row>
    <row r="116" spans="1:9" s="347" customFormat="1" x14ac:dyDescent="0.5">
      <c r="A116" s="536" t="s">
        <v>561</v>
      </c>
      <c r="B116" s="537"/>
      <c r="C116" s="557" t="str">
        <f>'Quadro Geral'!C43</f>
        <v>Projeto especial para atendimento aos procedimentos relacionados ao plano de gestão documental do CAU/RS</v>
      </c>
      <c r="D116" s="557"/>
      <c r="E116" s="557"/>
      <c r="F116" s="557"/>
      <c r="G116" s="557"/>
      <c r="H116" s="558"/>
      <c r="I116" s="265"/>
    </row>
    <row r="117" spans="1:9" s="347" customFormat="1" x14ac:dyDescent="0.5">
      <c r="A117" s="537" t="s">
        <v>34</v>
      </c>
      <c r="B117" s="537"/>
      <c r="C117" s="563"/>
      <c r="D117" s="563"/>
      <c r="E117" s="563"/>
      <c r="F117" s="563"/>
      <c r="G117" s="563"/>
      <c r="H117" s="564"/>
      <c r="I117" s="265"/>
    </row>
    <row r="118" spans="1:9" s="347" customFormat="1" x14ac:dyDescent="0.5">
      <c r="A118" s="303"/>
      <c r="B118" s="303"/>
      <c r="C118" s="303"/>
      <c r="D118" s="270"/>
      <c r="E118" s="270"/>
      <c r="F118" s="270"/>
      <c r="G118" s="270" t="s">
        <v>155</v>
      </c>
      <c r="H118" s="270"/>
      <c r="I118" s="265"/>
    </row>
    <row r="119" spans="1:9" s="347" customFormat="1" x14ac:dyDescent="0.5">
      <c r="A119" s="540" t="s">
        <v>562</v>
      </c>
      <c r="B119" s="541"/>
      <c r="C119" s="541"/>
      <c r="D119" s="540" t="s">
        <v>563</v>
      </c>
      <c r="E119" s="541"/>
      <c r="F119" s="542"/>
      <c r="G119" s="543" t="s">
        <v>564</v>
      </c>
      <c r="H119" s="544"/>
      <c r="I119" s="265"/>
    </row>
    <row r="120" spans="1:9" s="347" customFormat="1" x14ac:dyDescent="0.5">
      <c r="A120" s="540" t="s">
        <v>565</v>
      </c>
      <c r="B120" s="541"/>
      <c r="C120" s="542"/>
      <c r="D120" s="540" t="s">
        <v>566</v>
      </c>
      <c r="E120" s="542"/>
      <c r="F120" s="545" t="s">
        <v>567</v>
      </c>
      <c r="G120" s="546" t="s">
        <v>568</v>
      </c>
      <c r="H120" s="546" t="s">
        <v>569</v>
      </c>
      <c r="I120" s="265"/>
    </row>
    <row r="121" spans="1:9" s="347" customFormat="1" ht="46.8" x14ac:dyDescent="0.5">
      <c r="A121" s="301" t="s">
        <v>570</v>
      </c>
      <c r="B121" s="301" t="s">
        <v>571</v>
      </c>
      <c r="C121" s="276" t="s">
        <v>572</v>
      </c>
      <c r="D121" s="301" t="s">
        <v>573</v>
      </c>
      <c r="E121" s="301" t="s">
        <v>574</v>
      </c>
      <c r="F121" s="545"/>
      <c r="G121" s="547"/>
      <c r="H121" s="547"/>
      <c r="I121" s="265"/>
    </row>
    <row r="122" spans="1:9" s="347" customFormat="1" ht="31.2" x14ac:dyDescent="0.5">
      <c r="A122" s="319"/>
      <c r="B122" s="297" t="s">
        <v>745</v>
      </c>
      <c r="C122" s="319"/>
      <c r="D122" s="13">
        <v>0</v>
      </c>
      <c r="E122" s="13">
        <v>54000</v>
      </c>
      <c r="F122" s="277">
        <f t="shared" ref="F122:F123" si="19">IFERROR(E122/D122*100-100,)</f>
        <v>0</v>
      </c>
      <c r="G122" s="13"/>
      <c r="H122" s="278">
        <f t="shared" ref="H122:H123" si="20">IFERROR(G122/E122*100,)</f>
        <v>0</v>
      </c>
      <c r="I122" s="265"/>
    </row>
    <row r="123" spans="1:9" s="347" customFormat="1" x14ac:dyDescent="0.5">
      <c r="A123" s="552" t="s">
        <v>0</v>
      </c>
      <c r="B123" s="552"/>
      <c r="C123" s="552"/>
      <c r="D123" s="280">
        <f>SUM(D122:D122)</f>
        <v>0</v>
      </c>
      <c r="E123" s="280">
        <f>SUM(E122:E122)</f>
        <v>54000</v>
      </c>
      <c r="F123" s="281">
        <f t="shared" si="19"/>
        <v>0</v>
      </c>
      <c r="G123" s="280">
        <f>SUM(G122:G122)</f>
        <v>0</v>
      </c>
      <c r="H123" s="282">
        <f t="shared" si="20"/>
        <v>0</v>
      </c>
      <c r="I123" s="265"/>
    </row>
    <row r="124" spans="1:9" s="347" customFormat="1" x14ac:dyDescent="0.5">
      <c r="A124" s="553"/>
      <c r="B124" s="553"/>
      <c r="C124" s="553"/>
      <c r="D124" s="553"/>
      <c r="E124" s="553"/>
      <c r="F124" s="553"/>
      <c r="G124" s="553"/>
      <c r="H124" s="553"/>
      <c r="I124" s="265"/>
    </row>
    <row r="125" spans="1:9" s="347" customFormat="1" x14ac:dyDescent="0.5">
      <c r="A125" s="554" t="s">
        <v>227</v>
      </c>
      <c r="B125" s="555"/>
      <c r="C125" s="555"/>
      <c r="D125" s="555"/>
      <c r="E125" s="555"/>
      <c r="F125" s="555"/>
      <c r="G125" s="555"/>
      <c r="H125" s="556"/>
      <c r="I125" s="265"/>
    </row>
    <row r="126" spans="1:9" s="347" customFormat="1" x14ac:dyDescent="0.5">
      <c r="A126" s="549"/>
      <c r="B126" s="550"/>
      <c r="C126" s="550"/>
      <c r="D126" s="550"/>
      <c r="E126" s="550"/>
      <c r="F126" s="550"/>
      <c r="G126" s="550"/>
      <c r="H126" s="551"/>
      <c r="I126" s="265"/>
    </row>
    <row r="127" spans="1:9" s="347" customFormat="1" x14ac:dyDescent="0.5">
      <c r="A127" s="286"/>
      <c r="B127" s="286"/>
      <c r="C127" s="286"/>
      <c r="D127" s="286"/>
      <c r="E127" s="286"/>
      <c r="F127" s="286"/>
      <c r="G127" s="286"/>
      <c r="H127" s="286"/>
      <c r="I127" s="265"/>
    </row>
    <row r="128" spans="1:9" s="347" customFormat="1" ht="35.4" customHeight="1" x14ac:dyDescent="0.5">
      <c r="A128" s="536" t="s">
        <v>561</v>
      </c>
      <c r="B128" s="537"/>
      <c r="C128" s="538" t="str">
        <f>'Quadro Geral'!C44</f>
        <v>Implantação e manutenção das atividades do Museu ou Centro de Memória do CAU/RS</v>
      </c>
      <c r="D128" s="538"/>
      <c r="E128" s="538"/>
      <c r="F128" s="538"/>
      <c r="G128" s="538"/>
      <c r="H128" s="539"/>
      <c r="I128" s="265"/>
    </row>
    <row r="129" spans="1:9" s="347" customFormat="1" x14ac:dyDescent="0.5">
      <c r="A129" s="537" t="s">
        <v>34</v>
      </c>
      <c r="B129" s="537"/>
      <c r="C129" s="563"/>
      <c r="D129" s="563"/>
      <c r="E129" s="563"/>
      <c r="F129" s="563"/>
      <c r="G129" s="563"/>
      <c r="H129" s="564"/>
      <c r="I129" s="265"/>
    </row>
    <row r="130" spans="1:9" s="347" customFormat="1" x14ac:dyDescent="0.5">
      <c r="A130" s="303"/>
      <c r="B130" s="303"/>
      <c r="C130" s="303"/>
      <c r="D130" s="270"/>
      <c r="E130" s="270"/>
      <c r="F130" s="270"/>
      <c r="G130" s="270" t="s">
        <v>155</v>
      </c>
      <c r="H130" s="270"/>
      <c r="I130" s="265"/>
    </row>
    <row r="131" spans="1:9" s="347" customFormat="1" x14ac:dyDescent="0.5">
      <c r="A131" s="540" t="s">
        <v>562</v>
      </c>
      <c r="B131" s="541"/>
      <c r="C131" s="541"/>
      <c r="D131" s="540" t="s">
        <v>563</v>
      </c>
      <c r="E131" s="541"/>
      <c r="F131" s="542"/>
      <c r="G131" s="543" t="s">
        <v>564</v>
      </c>
      <c r="H131" s="544"/>
      <c r="I131" s="265"/>
    </row>
    <row r="132" spans="1:9" s="347" customFormat="1" x14ac:dyDescent="0.5">
      <c r="A132" s="540" t="s">
        <v>565</v>
      </c>
      <c r="B132" s="541"/>
      <c r="C132" s="542"/>
      <c r="D132" s="540" t="s">
        <v>566</v>
      </c>
      <c r="E132" s="542"/>
      <c r="F132" s="545" t="s">
        <v>567</v>
      </c>
      <c r="G132" s="546" t="s">
        <v>568</v>
      </c>
      <c r="H132" s="546" t="s">
        <v>569</v>
      </c>
      <c r="I132" s="265"/>
    </row>
    <row r="133" spans="1:9" s="347" customFormat="1" ht="46.8" x14ac:dyDescent="0.5">
      <c r="A133" s="301" t="s">
        <v>570</v>
      </c>
      <c r="B133" s="301" t="s">
        <v>571</v>
      </c>
      <c r="C133" s="276" t="s">
        <v>572</v>
      </c>
      <c r="D133" s="301" t="s">
        <v>573</v>
      </c>
      <c r="E133" s="301" t="s">
        <v>574</v>
      </c>
      <c r="F133" s="545"/>
      <c r="G133" s="547"/>
      <c r="H133" s="547"/>
      <c r="I133" s="265"/>
    </row>
    <row r="134" spans="1:9" s="347" customFormat="1" ht="31.2" x14ac:dyDescent="0.5">
      <c r="A134" s="318">
        <v>12</v>
      </c>
      <c r="B134" s="361" t="s">
        <v>740</v>
      </c>
      <c r="C134" s="319"/>
      <c r="D134" s="13">
        <v>0</v>
      </c>
      <c r="E134" s="13">
        <v>39238</v>
      </c>
      <c r="F134" s="277">
        <f t="shared" ref="F134:F136" si="21">IFERROR(E134/D134*100-100,)</f>
        <v>0</v>
      </c>
      <c r="G134" s="13"/>
      <c r="H134" s="278">
        <f t="shared" ref="H134:H136" si="22">IFERROR(G134/E134*100,)</f>
        <v>0</v>
      </c>
      <c r="I134" s="265"/>
    </row>
    <row r="135" spans="1:9" s="347" customFormat="1" x14ac:dyDescent="0.5">
      <c r="A135" s="318">
        <v>13</v>
      </c>
      <c r="B135" s="362" t="s">
        <v>741</v>
      </c>
      <c r="C135" s="319"/>
      <c r="D135" s="13"/>
      <c r="E135" s="13">
        <v>23574</v>
      </c>
      <c r="F135" s="277"/>
      <c r="G135" s="13"/>
      <c r="H135" s="278"/>
      <c r="I135" s="265"/>
    </row>
    <row r="136" spans="1:9" s="347" customFormat="1" x14ac:dyDescent="0.5">
      <c r="A136" s="552" t="s">
        <v>0</v>
      </c>
      <c r="B136" s="552"/>
      <c r="C136" s="552"/>
      <c r="D136" s="280">
        <f>SUM(D134:D135)</f>
        <v>0</v>
      </c>
      <c r="E136" s="280">
        <f>SUM(E134:E135)</f>
        <v>62812</v>
      </c>
      <c r="F136" s="281">
        <f t="shared" si="21"/>
        <v>0</v>
      </c>
      <c r="G136" s="280">
        <f>SUM(G134:G134)</f>
        <v>0</v>
      </c>
      <c r="H136" s="282">
        <f t="shared" si="22"/>
        <v>0</v>
      </c>
      <c r="I136" s="265"/>
    </row>
    <row r="137" spans="1:9" s="347" customFormat="1" x14ac:dyDescent="0.5">
      <c r="A137" s="553"/>
      <c r="B137" s="553"/>
      <c r="C137" s="553"/>
      <c r="D137" s="553"/>
      <c r="E137" s="553"/>
      <c r="F137" s="553"/>
      <c r="G137" s="553"/>
      <c r="H137" s="553"/>
      <c r="I137" s="265"/>
    </row>
    <row r="138" spans="1:9" s="347" customFormat="1" x14ac:dyDescent="0.5">
      <c r="A138" s="554" t="s">
        <v>227</v>
      </c>
      <c r="B138" s="555"/>
      <c r="C138" s="555"/>
      <c r="D138" s="555"/>
      <c r="E138" s="555"/>
      <c r="F138" s="555"/>
      <c r="G138" s="555"/>
      <c r="H138" s="556"/>
      <c r="I138" s="265"/>
    </row>
    <row r="139" spans="1:9" s="347" customFormat="1" x14ac:dyDescent="0.5">
      <c r="A139" s="549"/>
      <c r="B139" s="550"/>
      <c r="C139" s="550"/>
      <c r="D139" s="550"/>
      <c r="E139" s="550"/>
      <c r="F139" s="550"/>
      <c r="G139" s="550"/>
      <c r="H139" s="551"/>
      <c r="I139" s="265"/>
    </row>
    <row r="140" spans="1:9" s="347" customFormat="1" x14ac:dyDescent="0.5">
      <c r="A140" s="286"/>
      <c r="B140" s="286"/>
      <c r="C140" s="286"/>
      <c r="D140" s="286"/>
      <c r="E140" s="286"/>
      <c r="F140" s="286"/>
      <c r="G140" s="286"/>
      <c r="H140" s="286"/>
      <c r="I140" s="265"/>
    </row>
    <row r="141" spans="1:9" s="347" customFormat="1" x14ac:dyDescent="0.5">
      <c r="A141" s="286"/>
      <c r="B141" s="286"/>
      <c r="C141" s="286"/>
      <c r="D141" s="286"/>
      <c r="E141" s="286"/>
      <c r="F141" s="286"/>
      <c r="G141" s="286"/>
      <c r="H141" s="286"/>
      <c r="I141" s="265"/>
    </row>
    <row r="142" spans="1:9" s="347" customFormat="1" x14ac:dyDescent="0.5">
      <c r="A142" s="536" t="s">
        <v>561</v>
      </c>
      <c r="B142" s="537"/>
      <c r="C142" s="538" t="str">
        <f>'Quadro Geral'!C45</f>
        <v xml:space="preserve">Participação em Eventos </v>
      </c>
      <c r="D142" s="538"/>
      <c r="E142" s="538"/>
      <c r="F142" s="538"/>
      <c r="G142" s="538"/>
      <c r="H142" s="539"/>
      <c r="I142" s="265"/>
    </row>
    <row r="143" spans="1:9" s="347" customFormat="1" x14ac:dyDescent="0.5">
      <c r="A143" s="537" t="s">
        <v>34</v>
      </c>
      <c r="B143" s="537"/>
      <c r="C143" s="563"/>
      <c r="D143" s="563"/>
      <c r="E143" s="563"/>
      <c r="F143" s="563"/>
      <c r="G143" s="563"/>
      <c r="H143" s="564"/>
      <c r="I143" s="265"/>
    </row>
    <row r="144" spans="1:9" s="347" customFormat="1" x14ac:dyDescent="0.5">
      <c r="A144" s="303"/>
      <c r="B144" s="303"/>
      <c r="C144" s="303"/>
      <c r="D144" s="270"/>
      <c r="E144" s="270"/>
      <c r="F144" s="270"/>
      <c r="G144" s="270" t="s">
        <v>155</v>
      </c>
      <c r="H144" s="270"/>
      <c r="I144" s="265"/>
    </row>
    <row r="145" spans="1:9" s="347" customFormat="1" x14ac:dyDescent="0.5">
      <c r="A145" s="540" t="s">
        <v>562</v>
      </c>
      <c r="B145" s="541"/>
      <c r="C145" s="541"/>
      <c r="D145" s="540" t="s">
        <v>563</v>
      </c>
      <c r="E145" s="541"/>
      <c r="F145" s="542"/>
      <c r="G145" s="543" t="s">
        <v>564</v>
      </c>
      <c r="H145" s="544"/>
      <c r="I145" s="265"/>
    </row>
    <row r="146" spans="1:9" s="347" customFormat="1" x14ac:dyDescent="0.5">
      <c r="A146" s="540" t="s">
        <v>565</v>
      </c>
      <c r="B146" s="541"/>
      <c r="C146" s="542"/>
      <c r="D146" s="540" t="s">
        <v>566</v>
      </c>
      <c r="E146" s="542"/>
      <c r="F146" s="545" t="s">
        <v>567</v>
      </c>
      <c r="G146" s="546" t="s">
        <v>568</v>
      </c>
      <c r="H146" s="546" t="s">
        <v>569</v>
      </c>
      <c r="I146" s="265"/>
    </row>
    <row r="147" spans="1:9" s="347" customFormat="1" ht="46.8" x14ac:dyDescent="0.5">
      <c r="A147" s="301" t="s">
        <v>570</v>
      </c>
      <c r="B147" s="301" t="s">
        <v>571</v>
      </c>
      <c r="C147" s="276" t="s">
        <v>572</v>
      </c>
      <c r="D147" s="301" t="s">
        <v>573</v>
      </c>
      <c r="E147" s="301" t="s">
        <v>574</v>
      </c>
      <c r="F147" s="545"/>
      <c r="G147" s="547"/>
      <c r="H147" s="547"/>
      <c r="I147" s="265"/>
    </row>
    <row r="148" spans="1:9" s="347" customFormat="1" x14ac:dyDescent="0.5">
      <c r="A148" s="318"/>
      <c r="B148" s="365" t="s">
        <v>743</v>
      </c>
      <c r="C148" s="319"/>
      <c r="D148" s="13">
        <v>0</v>
      </c>
      <c r="E148" s="13">
        <v>5802</v>
      </c>
      <c r="F148" s="277">
        <f t="shared" ref="F148" si="23">IFERROR(E148/D148*100-100,)</f>
        <v>0</v>
      </c>
      <c r="G148" s="13"/>
      <c r="H148" s="278">
        <f t="shared" ref="H148" si="24">IFERROR(G148/E148*100,)</f>
        <v>0</v>
      </c>
      <c r="I148" s="265"/>
    </row>
    <row r="149" spans="1:9" s="347" customFormat="1" x14ac:dyDescent="0.5">
      <c r="A149" s="318"/>
      <c r="B149" s="365" t="s">
        <v>755</v>
      </c>
      <c r="C149" s="319"/>
      <c r="D149" s="13"/>
      <c r="E149" s="13">
        <v>5802</v>
      </c>
      <c r="F149" s="277"/>
      <c r="G149" s="13"/>
      <c r="H149" s="278"/>
      <c r="I149" s="265"/>
    </row>
    <row r="150" spans="1:9" s="347" customFormat="1" x14ac:dyDescent="0.5">
      <c r="A150" s="318"/>
      <c r="B150" s="365" t="s">
        <v>744</v>
      </c>
      <c r="C150" s="319"/>
      <c r="D150" s="13"/>
      <c r="E150" s="13">
        <v>105568.72</v>
      </c>
      <c r="F150" s="277"/>
      <c r="G150" s="13"/>
      <c r="H150" s="278"/>
      <c r="I150" s="265"/>
    </row>
    <row r="151" spans="1:9" s="347" customFormat="1" x14ac:dyDescent="0.5">
      <c r="A151" s="552" t="s">
        <v>0</v>
      </c>
      <c r="B151" s="552"/>
      <c r="C151" s="552"/>
      <c r="D151" s="280">
        <f>SUM(D148:D150)</f>
        <v>0</v>
      </c>
      <c r="E151" s="280">
        <f>SUM(E148:E150)</f>
        <v>117172.72</v>
      </c>
      <c r="F151" s="281">
        <f t="shared" ref="F151" si="25">IFERROR(E151/D151*100-100,)</f>
        <v>0</v>
      </c>
      <c r="G151" s="280">
        <f>SUM(G148:G148)</f>
        <v>0</v>
      </c>
      <c r="H151" s="282">
        <f t="shared" ref="H151" si="26">IFERROR(G151/E151*100,)</f>
        <v>0</v>
      </c>
      <c r="I151" s="265"/>
    </row>
    <row r="152" spans="1:9" s="347" customFormat="1" x14ac:dyDescent="0.5">
      <c r="A152" s="553"/>
      <c r="B152" s="553"/>
      <c r="C152" s="553"/>
      <c r="D152" s="553"/>
      <c r="E152" s="553"/>
      <c r="F152" s="553"/>
      <c r="G152" s="553"/>
      <c r="H152" s="553"/>
      <c r="I152" s="265"/>
    </row>
    <row r="153" spans="1:9" s="347" customFormat="1" x14ac:dyDescent="0.5">
      <c r="A153" s="554" t="s">
        <v>227</v>
      </c>
      <c r="B153" s="555"/>
      <c r="C153" s="555"/>
      <c r="D153" s="555"/>
      <c r="E153" s="555"/>
      <c r="F153" s="555"/>
      <c r="G153" s="555"/>
      <c r="H153" s="556"/>
      <c r="I153" s="265"/>
    </row>
    <row r="154" spans="1:9" s="347" customFormat="1" x14ac:dyDescent="0.5">
      <c r="A154" s="549"/>
      <c r="B154" s="550"/>
      <c r="C154" s="550"/>
      <c r="D154" s="550"/>
      <c r="E154" s="550"/>
      <c r="F154" s="550"/>
      <c r="G154" s="550"/>
      <c r="H154" s="551"/>
      <c r="I154" s="265"/>
    </row>
    <row r="155" spans="1:9" s="347" customFormat="1" x14ac:dyDescent="0.5">
      <c r="A155" s="286"/>
      <c r="B155" s="286"/>
      <c r="C155" s="286"/>
      <c r="D155" s="286"/>
      <c r="E155" s="286"/>
      <c r="F155" s="286"/>
      <c r="G155" s="286"/>
      <c r="H155" s="286"/>
      <c r="I155" s="265"/>
    </row>
    <row r="156" spans="1:9" s="347" customFormat="1" x14ac:dyDescent="0.5">
      <c r="A156" s="286"/>
      <c r="B156" s="286"/>
      <c r="C156" s="286"/>
      <c r="D156" s="286"/>
      <c r="E156" s="286"/>
      <c r="F156" s="286"/>
      <c r="G156" s="286"/>
      <c r="H156" s="286"/>
      <c r="I156" s="265"/>
    </row>
    <row r="157" spans="1:9" s="347" customFormat="1" ht="37.799999999999997" customHeight="1" x14ac:dyDescent="0.5">
      <c r="A157" s="536" t="s">
        <v>561</v>
      </c>
      <c r="B157" s="537"/>
      <c r="C157" s="538" t="str">
        <f>'Quadro Geral'!C46</f>
        <v>Projeto Especial para realização do Congresso Gaúcho de Arquitetura</v>
      </c>
      <c r="D157" s="538"/>
      <c r="E157" s="538"/>
      <c r="F157" s="538"/>
      <c r="G157" s="538"/>
      <c r="H157" s="539"/>
      <c r="I157" s="265"/>
    </row>
    <row r="158" spans="1:9" s="347" customFormat="1" x14ac:dyDescent="0.5">
      <c r="A158" s="537" t="s">
        <v>34</v>
      </c>
      <c r="B158" s="537"/>
      <c r="C158" s="563"/>
      <c r="D158" s="563"/>
      <c r="E158" s="563"/>
      <c r="F158" s="563"/>
      <c r="G158" s="563"/>
      <c r="H158" s="564"/>
      <c r="I158" s="265"/>
    </row>
    <row r="159" spans="1:9" s="347" customFormat="1" x14ac:dyDescent="0.5">
      <c r="A159" s="303"/>
      <c r="B159" s="303"/>
      <c r="C159" s="303"/>
      <c r="D159" s="270"/>
      <c r="E159" s="270"/>
      <c r="F159" s="270"/>
      <c r="G159" s="270" t="s">
        <v>155</v>
      </c>
      <c r="H159" s="270"/>
      <c r="I159" s="265"/>
    </row>
    <row r="160" spans="1:9" s="347" customFormat="1" x14ac:dyDescent="0.5">
      <c r="A160" s="540" t="s">
        <v>562</v>
      </c>
      <c r="B160" s="541"/>
      <c r="C160" s="541"/>
      <c r="D160" s="540" t="s">
        <v>563</v>
      </c>
      <c r="E160" s="541"/>
      <c r="F160" s="542"/>
      <c r="G160" s="543" t="s">
        <v>564</v>
      </c>
      <c r="H160" s="544"/>
      <c r="I160" s="265"/>
    </row>
    <row r="161" spans="1:9" s="347" customFormat="1" x14ac:dyDescent="0.5">
      <c r="A161" s="540" t="s">
        <v>565</v>
      </c>
      <c r="B161" s="541"/>
      <c r="C161" s="542"/>
      <c r="D161" s="540" t="s">
        <v>566</v>
      </c>
      <c r="E161" s="542"/>
      <c r="F161" s="545" t="s">
        <v>567</v>
      </c>
      <c r="G161" s="546" t="s">
        <v>568</v>
      </c>
      <c r="H161" s="546" t="s">
        <v>569</v>
      </c>
      <c r="I161" s="265"/>
    </row>
    <row r="162" spans="1:9" s="347" customFormat="1" ht="46.8" x14ac:dyDescent="0.5">
      <c r="A162" s="372" t="s">
        <v>570</v>
      </c>
      <c r="B162" s="372" t="s">
        <v>571</v>
      </c>
      <c r="C162" s="276" t="s">
        <v>572</v>
      </c>
      <c r="D162" s="372" t="s">
        <v>573</v>
      </c>
      <c r="E162" s="372" t="s">
        <v>574</v>
      </c>
      <c r="F162" s="545"/>
      <c r="G162" s="547"/>
      <c r="H162" s="547"/>
      <c r="I162" s="265"/>
    </row>
    <row r="163" spans="1:9" s="347" customFormat="1" x14ac:dyDescent="0.5">
      <c r="A163" s="318"/>
      <c r="B163" s="379" t="s">
        <v>752</v>
      </c>
      <c r="C163" s="376"/>
      <c r="D163" s="376"/>
      <c r="E163" s="13">
        <v>400000</v>
      </c>
      <c r="F163" s="376"/>
      <c r="G163" s="377"/>
      <c r="H163" s="278"/>
      <c r="I163" s="265"/>
    </row>
    <row r="164" spans="1:9" s="347" customFormat="1" x14ac:dyDescent="0.5">
      <c r="A164" s="552" t="s">
        <v>0</v>
      </c>
      <c r="B164" s="552"/>
      <c r="C164" s="552"/>
      <c r="D164" s="280">
        <f>SUM(D163:D163)</f>
        <v>0</v>
      </c>
      <c r="E164" s="280">
        <f>SUM(E163:E163)</f>
        <v>400000</v>
      </c>
      <c r="F164" s="281">
        <f t="shared" ref="F164" si="27">IFERROR(E164/D164*100-100,)</f>
        <v>0</v>
      </c>
      <c r="G164" s="280" t="e">
        <f>SUM(#REF!)</f>
        <v>#REF!</v>
      </c>
      <c r="H164" s="282">
        <f t="shared" ref="H164" si="28">IFERROR(G164/E164*100,)</f>
        <v>0</v>
      </c>
      <c r="I164" s="265"/>
    </row>
    <row r="165" spans="1:9" s="347" customFormat="1" x14ac:dyDescent="0.5">
      <c r="A165" s="553"/>
      <c r="B165" s="553"/>
      <c r="C165" s="553"/>
      <c r="D165" s="553"/>
      <c r="E165" s="553"/>
      <c r="F165" s="553"/>
      <c r="G165" s="553"/>
      <c r="H165" s="553"/>
      <c r="I165" s="265"/>
    </row>
    <row r="166" spans="1:9" s="347" customFormat="1" x14ac:dyDescent="0.5">
      <c r="A166" s="554" t="s">
        <v>227</v>
      </c>
      <c r="B166" s="555"/>
      <c r="C166" s="555"/>
      <c r="D166" s="555"/>
      <c r="E166" s="555"/>
      <c r="F166" s="555"/>
      <c r="G166" s="555"/>
      <c r="H166" s="556"/>
      <c r="I166" s="265"/>
    </row>
    <row r="167" spans="1:9" s="347" customFormat="1" x14ac:dyDescent="0.5">
      <c r="A167" s="549"/>
      <c r="B167" s="550"/>
      <c r="C167" s="550"/>
      <c r="D167" s="550"/>
      <c r="E167" s="550"/>
      <c r="F167" s="550"/>
      <c r="G167" s="550"/>
      <c r="H167" s="551"/>
      <c r="I167" s="265"/>
    </row>
    <row r="168" spans="1:9" s="347" customFormat="1" x14ac:dyDescent="0.5">
      <c r="A168" s="286"/>
      <c r="B168" s="286"/>
      <c r="C168" s="286"/>
      <c r="D168" s="286"/>
      <c r="E168" s="286"/>
      <c r="F168" s="286"/>
      <c r="G168" s="286"/>
      <c r="H168" s="286"/>
      <c r="I168" s="265"/>
    </row>
    <row r="169" spans="1:9" s="347" customFormat="1" x14ac:dyDescent="0.5">
      <c r="A169" s="286"/>
      <c r="B169" s="286"/>
      <c r="C169" s="286"/>
      <c r="D169" s="286"/>
      <c r="E169" s="286"/>
      <c r="F169" s="286"/>
      <c r="G169" s="286"/>
      <c r="H169" s="286"/>
      <c r="I169" s="265"/>
    </row>
    <row r="170" spans="1:9" s="347" customFormat="1" x14ac:dyDescent="0.5">
      <c r="A170" s="536" t="s">
        <v>561</v>
      </c>
      <c r="B170" s="537"/>
      <c r="C170" s="538" t="s">
        <v>753</v>
      </c>
      <c r="D170" s="538"/>
      <c r="E170" s="538"/>
      <c r="F170" s="538"/>
      <c r="G170" s="538"/>
      <c r="H170" s="539"/>
      <c r="I170" s="265"/>
    </row>
    <row r="171" spans="1:9" s="347" customFormat="1" x14ac:dyDescent="0.5">
      <c r="A171" s="537" t="s">
        <v>34</v>
      </c>
      <c r="B171" s="537"/>
      <c r="C171" s="563"/>
      <c r="D171" s="563"/>
      <c r="E171" s="563"/>
      <c r="F171" s="563"/>
      <c r="G171" s="563"/>
      <c r="H171" s="564"/>
      <c r="I171" s="265"/>
    </row>
    <row r="172" spans="1:9" s="347" customFormat="1" x14ac:dyDescent="0.5">
      <c r="A172" s="303"/>
      <c r="B172" s="303"/>
      <c r="C172" s="303"/>
      <c r="D172" s="270"/>
      <c r="E172" s="270"/>
      <c r="F172" s="270"/>
      <c r="G172" s="270" t="s">
        <v>155</v>
      </c>
      <c r="H172" s="270"/>
      <c r="I172" s="265"/>
    </row>
    <row r="173" spans="1:9" s="347" customFormat="1" x14ac:dyDescent="0.5">
      <c r="A173" s="540" t="s">
        <v>562</v>
      </c>
      <c r="B173" s="541"/>
      <c r="C173" s="541"/>
      <c r="D173" s="540" t="s">
        <v>563</v>
      </c>
      <c r="E173" s="541"/>
      <c r="F173" s="542"/>
      <c r="G173" s="543" t="s">
        <v>564</v>
      </c>
      <c r="H173" s="544"/>
      <c r="I173" s="265"/>
    </row>
    <row r="174" spans="1:9" s="347" customFormat="1" x14ac:dyDescent="0.5">
      <c r="A174" s="540" t="s">
        <v>565</v>
      </c>
      <c r="B174" s="541"/>
      <c r="C174" s="542"/>
      <c r="D174" s="540" t="s">
        <v>566</v>
      </c>
      <c r="E174" s="542"/>
      <c r="F174" s="545" t="s">
        <v>567</v>
      </c>
      <c r="G174" s="546" t="s">
        <v>568</v>
      </c>
      <c r="H174" s="546" t="s">
        <v>569</v>
      </c>
      <c r="I174" s="265"/>
    </row>
    <row r="175" spans="1:9" s="347" customFormat="1" ht="46.8" x14ac:dyDescent="0.5">
      <c r="A175" s="375" t="s">
        <v>570</v>
      </c>
      <c r="B175" s="375" t="s">
        <v>571</v>
      </c>
      <c r="C175" s="276" t="s">
        <v>572</v>
      </c>
      <c r="D175" s="375" t="s">
        <v>573</v>
      </c>
      <c r="E175" s="375" t="s">
        <v>574</v>
      </c>
      <c r="F175" s="545"/>
      <c r="G175" s="547"/>
      <c r="H175" s="547"/>
      <c r="I175" s="265"/>
    </row>
    <row r="176" spans="1:9" s="347" customFormat="1" x14ac:dyDescent="0.5">
      <c r="A176" s="318"/>
      <c r="B176" s="389" t="s">
        <v>753</v>
      </c>
      <c r="C176" s="376"/>
      <c r="D176" s="376"/>
      <c r="E176" s="13">
        <v>120000</v>
      </c>
      <c r="F176" s="376"/>
      <c r="G176" s="377"/>
      <c r="H176" s="278"/>
      <c r="I176" s="265"/>
    </row>
    <row r="177" spans="1:12" s="347" customFormat="1" x14ac:dyDescent="0.5">
      <c r="A177" s="552" t="s">
        <v>0</v>
      </c>
      <c r="B177" s="552"/>
      <c r="C177" s="552"/>
      <c r="D177" s="280">
        <f>SUM(D176:D176)</f>
        <v>0</v>
      </c>
      <c r="E177" s="280">
        <f>SUM(E176:E176)</f>
        <v>120000</v>
      </c>
      <c r="F177" s="281">
        <f t="shared" ref="F177" si="29">IFERROR(E177/D177*100-100,)</f>
        <v>0</v>
      </c>
      <c r="G177" s="280" t="e">
        <f>SUM(#REF!)</f>
        <v>#REF!</v>
      </c>
      <c r="H177" s="282">
        <f t="shared" ref="H177" si="30">IFERROR(G177/E177*100,)</f>
        <v>0</v>
      </c>
      <c r="I177" s="265"/>
    </row>
    <row r="178" spans="1:12" s="347" customFormat="1" x14ac:dyDescent="0.5">
      <c r="A178" s="553"/>
      <c r="B178" s="553"/>
      <c r="C178" s="553"/>
      <c r="D178" s="553"/>
      <c r="E178" s="553"/>
      <c r="F178" s="553"/>
      <c r="G178" s="553"/>
      <c r="H178" s="553"/>
      <c r="I178" s="265"/>
    </row>
    <row r="179" spans="1:12" s="347" customFormat="1" x14ac:dyDescent="0.5">
      <c r="A179" s="554" t="s">
        <v>227</v>
      </c>
      <c r="B179" s="555"/>
      <c r="C179" s="555"/>
      <c r="D179" s="555"/>
      <c r="E179" s="555"/>
      <c r="F179" s="555"/>
      <c r="G179" s="555"/>
      <c r="H179" s="556"/>
      <c r="I179" s="265"/>
    </row>
    <row r="180" spans="1:12" s="347" customFormat="1" x14ac:dyDescent="0.5">
      <c r="A180" s="549"/>
      <c r="B180" s="550"/>
      <c r="C180" s="550"/>
      <c r="D180" s="550"/>
      <c r="E180" s="550"/>
      <c r="F180" s="550"/>
      <c r="G180" s="550"/>
      <c r="H180" s="551"/>
      <c r="I180" s="265"/>
    </row>
    <row r="181" spans="1:12" s="323" customFormat="1" x14ac:dyDescent="0.5">
      <c r="A181" s="286"/>
      <c r="B181" s="286"/>
      <c r="C181" s="286"/>
      <c r="D181" s="286"/>
      <c r="E181" s="286"/>
      <c r="F181" s="286"/>
      <c r="G181" s="286"/>
      <c r="H181" s="286"/>
      <c r="I181" s="265"/>
    </row>
    <row r="182" spans="1:12" x14ac:dyDescent="0.5">
      <c r="A182" s="554" t="s">
        <v>577</v>
      </c>
      <c r="B182" s="555"/>
      <c r="C182" s="555"/>
      <c r="D182" s="555"/>
      <c r="E182" s="555"/>
      <c r="F182" s="555"/>
      <c r="G182" s="555"/>
      <c r="H182" s="556"/>
      <c r="I182" s="287"/>
      <c r="J182" s="288"/>
      <c r="K182" s="288"/>
      <c r="L182" s="272"/>
    </row>
    <row r="183" spans="1:12" ht="129" customHeight="1" x14ac:dyDescent="0.5">
      <c r="A183" s="548" t="s">
        <v>578</v>
      </c>
      <c r="B183" s="548"/>
      <c r="C183" s="548"/>
      <c r="D183" s="548"/>
      <c r="E183" s="548"/>
      <c r="F183" s="548"/>
      <c r="G183" s="548"/>
      <c r="H183" s="548"/>
    </row>
    <row r="184" spans="1:12" ht="181.5" customHeight="1" x14ac:dyDescent="0.5">
      <c r="A184" s="548"/>
      <c r="B184" s="548"/>
      <c r="C184" s="548"/>
      <c r="D184" s="548"/>
      <c r="E184" s="548"/>
      <c r="F184" s="548"/>
      <c r="G184" s="548"/>
      <c r="H184" s="548"/>
    </row>
    <row r="185" spans="1:12" x14ac:dyDescent="0.5"/>
    <row r="186" spans="1:12" x14ac:dyDescent="0.5"/>
    <row r="187" spans="1:12" x14ac:dyDescent="0.5"/>
    <row r="188" spans="1:12" x14ac:dyDescent="0.5"/>
    <row r="189" spans="1:12" x14ac:dyDescent="0.5"/>
    <row r="190" spans="1:12" x14ac:dyDescent="0.5"/>
    <row r="191" spans="1:12" x14ac:dyDescent="0.5"/>
    <row r="192" spans="1:12" x14ac:dyDescent="0.5"/>
    <row r="193" x14ac:dyDescent="0.5"/>
    <row r="194" x14ac:dyDescent="0.5"/>
    <row r="195" x14ac:dyDescent="0.5"/>
    <row r="196" x14ac:dyDescent="0.5"/>
    <row r="197" x14ac:dyDescent="0.5"/>
    <row r="198" x14ac:dyDescent="0.5"/>
    <row r="199" x14ac:dyDescent="0.5"/>
    <row r="200" x14ac:dyDescent="0.5"/>
    <row r="201" x14ac:dyDescent="0.5"/>
    <row r="202" x14ac:dyDescent="0.5"/>
    <row r="203" x14ac:dyDescent="0.5"/>
    <row r="204" x14ac:dyDescent="0.5"/>
    <row r="205" x14ac:dyDescent="0.5"/>
    <row r="206" x14ac:dyDescent="0.5"/>
    <row r="207" x14ac:dyDescent="0.5"/>
    <row r="208" x14ac:dyDescent="0.5"/>
    <row r="209" x14ac:dyDescent="0.5"/>
    <row r="210" x14ac:dyDescent="0.5"/>
    <row r="211" x14ac:dyDescent="0.5"/>
    <row r="212" x14ac:dyDescent="0.5"/>
    <row r="213" x14ac:dyDescent="0.5"/>
    <row r="214" x14ac:dyDescent="0.5"/>
    <row r="215" x14ac:dyDescent="0.5"/>
    <row r="216" x14ac:dyDescent="0.5"/>
    <row r="217" x14ac:dyDescent="0.5"/>
    <row r="218" x14ac:dyDescent="0.5"/>
    <row r="219" x14ac:dyDescent="0.5"/>
    <row r="220" x14ac:dyDescent="0.5"/>
    <row r="221" x14ac:dyDescent="0.5"/>
    <row r="222" x14ac:dyDescent="0.5"/>
    <row r="223" x14ac:dyDescent="0.5"/>
    <row r="224" x14ac:dyDescent="0.5"/>
    <row r="225" x14ac:dyDescent="0.5"/>
    <row r="226" x14ac:dyDescent="0.5"/>
    <row r="227" x14ac:dyDescent="0.5"/>
    <row r="228" x14ac:dyDescent="0.5"/>
    <row r="229" x14ac:dyDescent="0.5"/>
    <row r="230" x14ac:dyDescent="0.5"/>
    <row r="231" x14ac:dyDescent="0.5"/>
    <row r="232" x14ac:dyDescent="0.5"/>
    <row r="233" x14ac:dyDescent="0.5"/>
    <row r="234" x14ac:dyDescent="0.5"/>
    <row r="235" x14ac:dyDescent="0.5"/>
    <row r="236" x14ac:dyDescent="0.5"/>
    <row r="237" x14ac:dyDescent="0.5"/>
    <row r="238" x14ac:dyDescent="0.5"/>
    <row r="239" x14ac:dyDescent="0.5"/>
    <row r="240" x14ac:dyDescent="0.5"/>
    <row r="241" x14ac:dyDescent="0.5"/>
    <row r="242" x14ac:dyDescent="0.5"/>
    <row r="243" x14ac:dyDescent="0.5"/>
    <row r="244" x14ac:dyDescent="0.5"/>
    <row r="245" x14ac:dyDescent="0.5"/>
    <row r="246" x14ac:dyDescent="0.5"/>
    <row r="247" x14ac:dyDescent="0.5"/>
    <row r="248" x14ac:dyDescent="0.5"/>
    <row r="249" x14ac:dyDescent="0.5"/>
    <row r="250" x14ac:dyDescent="0.5"/>
    <row r="251" x14ac:dyDescent="0.5"/>
    <row r="252" x14ac:dyDescent="0.5"/>
    <row r="253" x14ac:dyDescent="0.5"/>
    <row r="254" x14ac:dyDescent="0.5"/>
    <row r="255" x14ac:dyDescent="0.5"/>
    <row r="256" x14ac:dyDescent="0.5"/>
    <row r="257" x14ac:dyDescent="0.5"/>
    <row r="258" x14ac:dyDescent="0.5"/>
    <row r="259" x14ac:dyDescent="0.5"/>
    <row r="260" x14ac:dyDescent="0.5"/>
    <row r="261" x14ac:dyDescent="0.5"/>
    <row r="262" x14ac:dyDescent="0.5"/>
    <row r="263" x14ac:dyDescent="0.5"/>
    <row r="264" x14ac:dyDescent="0.5"/>
    <row r="265" x14ac:dyDescent="0.5"/>
    <row r="266" x14ac:dyDescent="0.5"/>
    <row r="267" x14ac:dyDescent="0.5"/>
    <row r="268" x14ac:dyDescent="0.5"/>
    <row r="269" x14ac:dyDescent="0.5"/>
    <row r="270" x14ac:dyDescent="0.5"/>
    <row r="271" x14ac:dyDescent="0.5"/>
    <row r="272" x14ac:dyDescent="0.5"/>
    <row r="273" x14ac:dyDescent="0.5"/>
    <row r="274" x14ac:dyDescent="0.5"/>
    <row r="275" x14ac:dyDescent="0.5"/>
    <row r="276" x14ac:dyDescent="0.5"/>
    <row r="277" x14ac:dyDescent="0.5"/>
    <row r="278" x14ac:dyDescent="0.5"/>
    <row r="279" x14ac:dyDescent="0.5"/>
    <row r="280" x14ac:dyDescent="0.5"/>
    <row r="281" x14ac:dyDescent="0.5"/>
    <row r="282" x14ac:dyDescent="0.5"/>
    <row r="283" x14ac:dyDescent="0.5"/>
    <row r="284" x14ac:dyDescent="0.5"/>
    <row r="285" x14ac:dyDescent="0.5"/>
    <row r="286" x14ac:dyDescent="0.5"/>
    <row r="287" x14ac:dyDescent="0.5"/>
    <row r="288" x14ac:dyDescent="0.5"/>
    <row r="289" x14ac:dyDescent="0.5"/>
    <row r="290" x14ac:dyDescent="0.5"/>
    <row r="291" x14ac:dyDescent="0.5"/>
    <row r="292" x14ac:dyDescent="0.5"/>
    <row r="293" x14ac:dyDescent="0.5"/>
    <row r="294" x14ac:dyDescent="0.5"/>
    <row r="295" x14ac:dyDescent="0.5"/>
    <row r="296" x14ac:dyDescent="0.5"/>
    <row r="297" x14ac:dyDescent="0.5"/>
    <row r="298" x14ac:dyDescent="0.5"/>
  </sheetData>
  <sheetProtection formatCells="0" formatRows="0" insertRows="0" deleteRows="0"/>
  <mergeCells count="196">
    <mergeCell ref="A164:C164"/>
    <mergeCell ref="A165:H165"/>
    <mergeCell ref="A166:H166"/>
    <mergeCell ref="A167:H167"/>
    <mergeCell ref="A157:B157"/>
    <mergeCell ref="C157:H157"/>
    <mergeCell ref="A158:B158"/>
    <mergeCell ref="C158:H158"/>
    <mergeCell ref="A160:C160"/>
    <mergeCell ref="D160:F160"/>
    <mergeCell ref="G160:H160"/>
    <mergeCell ref="A161:C161"/>
    <mergeCell ref="D161:E161"/>
    <mergeCell ref="F161:F162"/>
    <mergeCell ref="G161:G162"/>
    <mergeCell ref="H161:H162"/>
    <mergeCell ref="A123:C123"/>
    <mergeCell ref="A124:H124"/>
    <mergeCell ref="A125:H125"/>
    <mergeCell ref="A126:H126"/>
    <mergeCell ref="A116:B116"/>
    <mergeCell ref="C116:H116"/>
    <mergeCell ref="A117:B117"/>
    <mergeCell ref="C117:H117"/>
    <mergeCell ref="A119:C119"/>
    <mergeCell ref="D119:F119"/>
    <mergeCell ref="G119:H119"/>
    <mergeCell ref="A120:C120"/>
    <mergeCell ref="D120:E120"/>
    <mergeCell ref="F120:F121"/>
    <mergeCell ref="G120:G121"/>
    <mergeCell ref="H120:H121"/>
    <mergeCell ref="A146:C146"/>
    <mergeCell ref="D146:E146"/>
    <mergeCell ref="F146:F147"/>
    <mergeCell ref="G146:G147"/>
    <mergeCell ref="H146:H147"/>
    <mergeCell ref="A151:C151"/>
    <mergeCell ref="A152:H152"/>
    <mergeCell ref="A153:H153"/>
    <mergeCell ref="A154:H154"/>
    <mergeCell ref="A136:C136"/>
    <mergeCell ref="A137:H137"/>
    <mergeCell ref="A138:H138"/>
    <mergeCell ref="A139:H139"/>
    <mergeCell ref="A142:B142"/>
    <mergeCell ref="C142:H142"/>
    <mergeCell ref="A143:B143"/>
    <mergeCell ref="C143:H143"/>
    <mergeCell ref="A145:C145"/>
    <mergeCell ref="D145:F145"/>
    <mergeCell ref="G145:H145"/>
    <mergeCell ref="A128:B128"/>
    <mergeCell ref="C128:H128"/>
    <mergeCell ref="A129:B129"/>
    <mergeCell ref="C129:H129"/>
    <mergeCell ref="A131:C131"/>
    <mergeCell ref="D131:F131"/>
    <mergeCell ref="G131:H131"/>
    <mergeCell ref="A132:C132"/>
    <mergeCell ref="D132:E132"/>
    <mergeCell ref="F132:F133"/>
    <mergeCell ref="G132:G133"/>
    <mergeCell ref="H132:H133"/>
    <mergeCell ref="A107:C107"/>
    <mergeCell ref="D107:E107"/>
    <mergeCell ref="F107:F108"/>
    <mergeCell ref="G107:G108"/>
    <mergeCell ref="H107:H108"/>
    <mergeCell ref="A110:C110"/>
    <mergeCell ref="A111:H111"/>
    <mergeCell ref="A112:H112"/>
    <mergeCell ref="A113:H113"/>
    <mergeCell ref="A97:C97"/>
    <mergeCell ref="A98:H98"/>
    <mergeCell ref="A99:H99"/>
    <mergeCell ref="A100:H100"/>
    <mergeCell ref="A103:B103"/>
    <mergeCell ref="C103:H103"/>
    <mergeCell ref="A104:B104"/>
    <mergeCell ref="C104:H104"/>
    <mergeCell ref="A106:C106"/>
    <mergeCell ref="D106:F106"/>
    <mergeCell ref="G106:H106"/>
    <mergeCell ref="A90:B90"/>
    <mergeCell ref="C90:H90"/>
    <mergeCell ref="A91:B91"/>
    <mergeCell ref="C91:H91"/>
    <mergeCell ref="A93:C93"/>
    <mergeCell ref="D93:F93"/>
    <mergeCell ref="G93:H93"/>
    <mergeCell ref="A94:C94"/>
    <mergeCell ref="D94:E94"/>
    <mergeCell ref="F94:F95"/>
    <mergeCell ref="G94:G95"/>
    <mergeCell ref="H94:H95"/>
    <mergeCell ref="A78:C78"/>
    <mergeCell ref="D78:E78"/>
    <mergeCell ref="F78:F79"/>
    <mergeCell ref="G78:G79"/>
    <mergeCell ref="H78:H79"/>
    <mergeCell ref="A84:C84"/>
    <mergeCell ref="A85:H85"/>
    <mergeCell ref="A86:H86"/>
    <mergeCell ref="A87:H87"/>
    <mergeCell ref="A68:C68"/>
    <mergeCell ref="A69:H69"/>
    <mergeCell ref="A70:H70"/>
    <mergeCell ref="A71:H71"/>
    <mergeCell ref="A74:B74"/>
    <mergeCell ref="C74:H74"/>
    <mergeCell ref="A75:B75"/>
    <mergeCell ref="C75:H75"/>
    <mergeCell ref="A77:C77"/>
    <mergeCell ref="D77:F77"/>
    <mergeCell ref="G77:H77"/>
    <mergeCell ref="A58:B58"/>
    <mergeCell ref="C58:H58"/>
    <mergeCell ref="A59:B59"/>
    <mergeCell ref="C59:H59"/>
    <mergeCell ref="A61:C61"/>
    <mergeCell ref="D61:F61"/>
    <mergeCell ref="G61:H61"/>
    <mergeCell ref="A62:C62"/>
    <mergeCell ref="D62:E62"/>
    <mergeCell ref="F62:F63"/>
    <mergeCell ref="G62:G63"/>
    <mergeCell ref="H62:H63"/>
    <mergeCell ref="A49:C49"/>
    <mergeCell ref="D49:E49"/>
    <mergeCell ref="F49:F50"/>
    <mergeCell ref="G49:G50"/>
    <mergeCell ref="H49:H50"/>
    <mergeCell ref="A52:C52"/>
    <mergeCell ref="A53:H53"/>
    <mergeCell ref="A54:H54"/>
    <mergeCell ref="A55:H55"/>
    <mergeCell ref="A40:H40"/>
    <mergeCell ref="A41:H41"/>
    <mergeCell ref="A42:H42"/>
    <mergeCell ref="A45:B45"/>
    <mergeCell ref="C45:H45"/>
    <mergeCell ref="A46:B46"/>
    <mergeCell ref="C46:H46"/>
    <mergeCell ref="A48:C48"/>
    <mergeCell ref="D48:F48"/>
    <mergeCell ref="G48:H48"/>
    <mergeCell ref="A183:H184"/>
    <mergeCell ref="A6:C6"/>
    <mergeCell ref="D6:F6"/>
    <mergeCell ref="G6:H6"/>
    <mergeCell ref="A7:C7"/>
    <mergeCell ref="D7:E7"/>
    <mergeCell ref="F7:F8"/>
    <mergeCell ref="G7:G8"/>
    <mergeCell ref="H7:H8"/>
    <mergeCell ref="A16:C16"/>
    <mergeCell ref="A17:H17"/>
    <mergeCell ref="A18:H18"/>
    <mergeCell ref="A19:H19"/>
    <mergeCell ref="A182:H182"/>
    <mergeCell ref="A22:B22"/>
    <mergeCell ref="C22:H22"/>
    <mergeCell ref="A23:B23"/>
    <mergeCell ref="C23:H23"/>
    <mergeCell ref="A25:C25"/>
    <mergeCell ref="D25:F25"/>
    <mergeCell ref="G25:H25"/>
    <mergeCell ref="A26:C26"/>
    <mergeCell ref="D26:E26"/>
    <mergeCell ref="F26:F27"/>
    <mergeCell ref="A1:H1"/>
    <mergeCell ref="A2:H2"/>
    <mergeCell ref="A3:B3"/>
    <mergeCell ref="C3:H3"/>
    <mergeCell ref="A4:B4"/>
    <mergeCell ref="C4:H4"/>
    <mergeCell ref="G26:G27"/>
    <mergeCell ref="H26:H27"/>
    <mergeCell ref="A39:C39"/>
    <mergeCell ref="A177:C177"/>
    <mergeCell ref="A178:H178"/>
    <mergeCell ref="A179:H179"/>
    <mergeCell ref="A180:H180"/>
    <mergeCell ref="A170:B170"/>
    <mergeCell ref="C170:H170"/>
    <mergeCell ref="A171:B171"/>
    <mergeCell ref="C171:H171"/>
    <mergeCell ref="A173:C173"/>
    <mergeCell ref="D173:F173"/>
    <mergeCell ref="G173:H173"/>
    <mergeCell ref="A174:C174"/>
    <mergeCell ref="D174:E174"/>
    <mergeCell ref="F174:F175"/>
    <mergeCell ref="G174:G175"/>
    <mergeCell ref="H174:H175"/>
  </mergeCells>
  <dataValidations count="1">
    <dataValidation type="list" allowBlank="1" showInputMessage="1" showErrorMessage="1" sqref="AN8:AN9">
      <formula1>$AN$8:$AN$9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'[5]AÇÕES ESTRATÉGICAS - DESCRIÇÃO '!#REF!</xm:f>
          </x14:formula1>
          <xm:sqref>C9:C15 C28:C38 C51 C65:C67 C96 C109 C134:C135 C80:C83 C148:C150 C122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tabColor rgb="FFFFFF00"/>
  </sheetPr>
  <dimension ref="A1:AN27"/>
  <sheetViews>
    <sheetView showGridLines="0" zoomScale="80" zoomScaleNormal="80" zoomScaleSheetLayoutView="80" workbookViewId="0">
      <selection activeCell="E11" sqref="E11"/>
    </sheetView>
  </sheetViews>
  <sheetFormatPr defaultColWidth="0" defaultRowHeight="25.8" zeroHeight="1" x14ac:dyDescent="0.5"/>
  <cols>
    <col min="1" max="1" width="18.44140625" style="265" customWidth="1"/>
    <col min="2" max="2" width="79.6640625" style="265" customWidth="1"/>
    <col min="3" max="3" width="22.109375" style="265" customWidth="1"/>
    <col min="4" max="4" width="21.21875" style="265" customWidth="1"/>
    <col min="5" max="5" width="22.33203125" style="265" customWidth="1"/>
    <col min="6" max="6" width="14.33203125" style="265" customWidth="1"/>
    <col min="7" max="8" width="18.109375" style="289" hidden="1" customWidth="1"/>
    <col min="9" max="9" width="10.33203125" style="265" bestFit="1" customWidth="1"/>
    <col min="10" max="40" width="0" style="266" hidden="1" customWidth="1"/>
    <col min="41" max="16384" width="36.88671875" style="266" hidden="1"/>
  </cols>
  <sheetData>
    <row r="1" spans="1:40" x14ac:dyDescent="0.5">
      <c r="A1" s="531" t="s">
        <v>559</v>
      </c>
      <c r="B1" s="532"/>
      <c r="C1" s="532"/>
      <c r="D1" s="532"/>
      <c r="E1" s="532"/>
      <c r="F1" s="532"/>
      <c r="G1" s="532"/>
      <c r="H1" s="533"/>
    </row>
    <row r="2" spans="1:40" ht="63.75" customHeight="1" x14ac:dyDescent="0.5">
      <c r="A2" s="534" t="s">
        <v>560</v>
      </c>
      <c r="B2" s="534"/>
      <c r="C2" s="534"/>
      <c r="D2" s="534"/>
      <c r="E2" s="534"/>
      <c r="F2" s="534"/>
      <c r="G2" s="534"/>
      <c r="H2" s="535"/>
    </row>
    <row r="3" spans="1:40" x14ac:dyDescent="0.5">
      <c r="A3" s="536" t="s">
        <v>561</v>
      </c>
      <c r="B3" s="537"/>
      <c r="C3" s="557" t="str">
        <f>'Quadro Geral'!C48</f>
        <v>Manutenção das atividades da gerência geral</v>
      </c>
      <c r="D3" s="557"/>
      <c r="E3" s="557"/>
      <c r="F3" s="557"/>
      <c r="G3" s="557"/>
      <c r="H3" s="558"/>
      <c r="N3" s="267"/>
      <c r="O3" s="268"/>
      <c r="P3" s="268"/>
      <c r="Q3" s="268"/>
      <c r="R3" s="268"/>
      <c r="S3" s="268"/>
      <c r="T3" s="268"/>
      <c r="U3" s="268"/>
      <c r="V3" s="268"/>
      <c r="W3" s="268"/>
    </row>
    <row r="4" spans="1:40" ht="30.75" customHeight="1" x14ac:dyDescent="0.5">
      <c r="A4" s="537" t="s">
        <v>34</v>
      </c>
      <c r="B4" s="537"/>
      <c r="C4" s="557" t="str">
        <f>'Quadro Geral'!E48</f>
        <v>Aprimorar e inovar os processos e as ações</v>
      </c>
      <c r="D4" s="557"/>
      <c r="E4" s="557"/>
      <c r="F4" s="557"/>
      <c r="G4" s="557"/>
      <c r="H4" s="558"/>
      <c r="V4" s="268"/>
      <c r="W4" s="268"/>
    </row>
    <row r="5" spans="1:40" s="272" customFormat="1" ht="49.5" customHeight="1" x14ac:dyDescent="0.5">
      <c r="A5" s="269"/>
      <c r="B5" s="269"/>
      <c r="C5" s="269"/>
      <c r="D5" s="270"/>
      <c r="E5" s="270"/>
      <c r="F5" s="270"/>
      <c r="G5" s="270" t="s">
        <v>155</v>
      </c>
      <c r="H5" s="270"/>
      <c r="I5" s="271"/>
      <c r="N5" s="273"/>
      <c r="O5" s="274"/>
      <c r="P5" s="274"/>
      <c r="Q5" s="274"/>
      <c r="R5" s="274"/>
      <c r="S5" s="274"/>
      <c r="T5" s="274"/>
      <c r="U5" s="274"/>
      <c r="V5" s="274"/>
      <c r="W5" s="274"/>
    </row>
    <row r="6" spans="1:40" x14ac:dyDescent="0.5">
      <c r="A6" s="540" t="s">
        <v>562</v>
      </c>
      <c r="B6" s="541"/>
      <c r="C6" s="541"/>
      <c r="D6" s="540" t="s">
        <v>563</v>
      </c>
      <c r="E6" s="541"/>
      <c r="F6" s="542"/>
      <c r="G6" s="543" t="s">
        <v>564</v>
      </c>
      <c r="H6" s="544"/>
      <c r="M6" s="274"/>
      <c r="N6" s="274"/>
      <c r="O6" s="274"/>
      <c r="P6" s="274"/>
      <c r="Q6" s="274"/>
      <c r="R6" s="274"/>
      <c r="S6" s="274"/>
      <c r="T6" s="274"/>
      <c r="U6" s="268"/>
      <c r="V6" s="268"/>
      <c r="W6" s="268"/>
    </row>
    <row r="7" spans="1:40" x14ac:dyDescent="0.5">
      <c r="A7" s="540" t="s">
        <v>565</v>
      </c>
      <c r="B7" s="541"/>
      <c r="C7" s="542"/>
      <c r="D7" s="540" t="s">
        <v>566</v>
      </c>
      <c r="E7" s="542"/>
      <c r="F7" s="545" t="s">
        <v>567</v>
      </c>
      <c r="G7" s="546" t="s">
        <v>568</v>
      </c>
      <c r="H7" s="546" t="s">
        <v>569</v>
      </c>
      <c r="M7" s="274"/>
      <c r="N7" s="274"/>
      <c r="O7" s="274"/>
      <c r="P7" s="274"/>
      <c r="Q7" s="274"/>
      <c r="R7" s="274"/>
      <c r="S7" s="274"/>
      <c r="T7" s="274"/>
      <c r="U7" s="268"/>
      <c r="V7" s="268"/>
      <c r="W7" s="268"/>
    </row>
    <row r="8" spans="1:40" ht="63" customHeight="1" x14ac:dyDescent="0.5">
      <c r="A8" s="275" t="s">
        <v>570</v>
      </c>
      <c r="B8" s="275" t="s">
        <v>571</v>
      </c>
      <c r="C8" s="276" t="s">
        <v>572</v>
      </c>
      <c r="D8" s="275" t="s">
        <v>573</v>
      </c>
      <c r="E8" s="275" t="s">
        <v>574</v>
      </c>
      <c r="F8" s="545"/>
      <c r="G8" s="547"/>
      <c r="H8" s="547"/>
      <c r="M8" s="274"/>
      <c r="N8" s="274"/>
      <c r="O8" s="274"/>
      <c r="P8" s="274"/>
      <c r="Q8" s="274"/>
      <c r="R8" s="274"/>
      <c r="S8" s="274"/>
      <c r="T8" s="274"/>
      <c r="U8" s="268"/>
      <c r="V8" s="268"/>
      <c r="W8" s="268"/>
      <c r="AN8" s="266" t="s">
        <v>72</v>
      </c>
    </row>
    <row r="9" spans="1:40" ht="32.25" customHeight="1" x14ac:dyDescent="0.5">
      <c r="A9" s="12"/>
      <c r="B9" s="297" t="s">
        <v>588</v>
      </c>
      <c r="C9" s="12"/>
      <c r="D9" s="13">
        <v>472926.32</v>
      </c>
      <c r="E9" s="320">
        <v>617075</v>
      </c>
      <c r="F9" s="277">
        <f t="shared" ref="F9:F12" si="0">IFERROR(E9/D9*100-100,)</f>
        <v>30.480155978631103</v>
      </c>
      <c r="G9" s="13"/>
      <c r="H9" s="278">
        <f t="shared" ref="H9:H12" si="1">IFERROR(G9/E9*100,)</f>
        <v>0</v>
      </c>
      <c r="M9" s="274"/>
      <c r="N9" s="267"/>
      <c r="O9" s="268"/>
      <c r="P9" s="268"/>
      <c r="Q9" s="268"/>
      <c r="R9" s="268"/>
      <c r="S9" s="268"/>
      <c r="T9" s="268"/>
      <c r="U9" s="268"/>
      <c r="V9" s="268"/>
      <c r="W9" s="268"/>
      <c r="AN9" s="266" t="s">
        <v>575</v>
      </c>
    </row>
    <row r="10" spans="1:40" ht="32.25" customHeight="1" x14ac:dyDescent="0.5">
      <c r="A10" s="12"/>
      <c r="B10" s="297" t="s">
        <v>703</v>
      </c>
      <c r="C10" s="12"/>
      <c r="D10" s="13">
        <v>42633.04</v>
      </c>
      <c r="E10" s="320">
        <v>73134.48</v>
      </c>
      <c r="F10" s="277">
        <f t="shared" si="0"/>
        <v>71.544135721965858</v>
      </c>
      <c r="G10" s="13"/>
      <c r="H10" s="278">
        <f t="shared" si="1"/>
        <v>0</v>
      </c>
      <c r="N10" s="267"/>
      <c r="O10" s="268"/>
      <c r="P10" s="268"/>
      <c r="Q10" s="268"/>
      <c r="R10" s="268"/>
      <c r="S10" s="268"/>
      <c r="T10" s="268"/>
      <c r="U10" s="268"/>
      <c r="V10" s="268"/>
      <c r="W10" s="268"/>
      <c r="AN10" s="266" t="s">
        <v>576</v>
      </c>
    </row>
    <row r="11" spans="1:40" ht="32.25" customHeight="1" x14ac:dyDescent="0.5">
      <c r="A11" s="12"/>
      <c r="B11" s="297" t="s">
        <v>704</v>
      </c>
      <c r="C11" s="12"/>
      <c r="D11" s="13">
        <v>15000</v>
      </c>
      <c r="E11" s="13">
        <v>0</v>
      </c>
      <c r="F11" s="277">
        <f t="shared" si="0"/>
        <v>-100</v>
      </c>
      <c r="G11" s="13"/>
      <c r="H11" s="278">
        <f t="shared" si="1"/>
        <v>0</v>
      </c>
      <c r="N11" s="267"/>
      <c r="O11" s="268"/>
      <c r="P11" s="268"/>
      <c r="Q11" s="268"/>
      <c r="R11" s="268"/>
      <c r="S11" s="268"/>
      <c r="T11" s="268"/>
      <c r="U11" s="268"/>
      <c r="V11" s="268"/>
      <c r="W11" s="268"/>
    </row>
    <row r="12" spans="1:40" s="284" customFormat="1" x14ac:dyDescent="0.3">
      <c r="A12" s="552" t="s">
        <v>0</v>
      </c>
      <c r="B12" s="552"/>
      <c r="C12" s="552"/>
      <c r="D12" s="280">
        <f>SUM(D9:D11)</f>
        <v>530559.36</v>
      </c>
      <c r="E12" s="280">
        <f>SUM(E9:E11)</f>
        <v>690209.48</v>
      </c>
      <c r="F12" s="281">
        <f t="shared" si="0"/>
        <v>30.090906321961796</v>
      </c>
      <c r="G12" s="280">
        <f>SUM(G9:G11)</f>
        <v>0</v>
      </c>
      <c r="H12" s="282">
        <f t="shared" si="1"/>
        <v>0</v>
      </c>
      <c r="I12" s="283"/>
    </row>
    <row r="13" spans="1:40" x14ac:dyDescent="0.5">
      <c r="A13" s="553"/>
      <c r="B13" s="553"/>
      <c r="C13" s="553"/>
      <c r="D13" s="553"/>
      <c r="E13" s="553"/>
      <c r="F13" s="553"/>
      <c r="G13" s="553"/>
      <c r="H13" s="553"/>
    </row>
    <row r="14" spans="1:40" x14ac:dyDescent="0.5">
      <c r="A14" s="554" t="s">
        <v>227</v>
      </c>
      <c r="B14" s="555"/>
      <c r="C14" s="555"/>
      <c r="D14" s="555"/>
      <c r="E14" s="555"/>
      <c r="F14" s="555"/>
      <c r="G14" s="555"/>
      <c r="H14" s="556"/>
      <c r="J14" s="285"/>
    </row>
    <row r="15" spans="1:40" x14ac:dyDescent="0.5">
      <c r="A15" s="549"/>
      <c r="B15" s="550"/>
      <c r="C15" s="550"/>
      <c r="D15" s="550"/>
      <c r="E15" s="550"/>
      <c r="F15" s="550"/>
      <c r="G15" s="550"/>
      <c r="H15" s="551"/>
    </row>
    <row r="16" spans="1:40" x14ac:dyDescent="0.5">
      <c r="A16" s="286"/>
      <c r="B16" s="286"/>
      <c r="C16" s="286"/>
      <c r="D16" s="286"/>
      <c r="E16" s="286"/>
      <c r="F16" s="286"/>
      <c r="G16" s="286"/>
      <c r="H16" s="286"/>
    </row>
    <row r="17" spans="1:12" x14ac:dyDescent="0.5">
      <c r="A17" s="554" t="s">
        <v>577</v>
      </c>
      <c r="B17" s="555"/>
      <c r="C17" s="555"/>
      <c r="D17" s="555"/>
      <c r="E17" s="555"/>
      <c r="F17" s="555"/>
      <c r="G17" s="555"/>
      <c r="H17" s="556"/>
      <c r="I17" s="287"/>
      <c r="J17" s="288"/>
      <c r="K17" s="288"/>
      <c r="L17" s="272"/>
    </row>
    <row r="18" spans="1:12" ht="129" customHeight="1" x14ac:dyDescent="0.5">
      <c r="A18" s="548" t="s">
        <v>578</v>
      </c>
      <c r="B18" s="548"/>
      <c r="C18" s="548"/>
      <c r="D18" s="548"/>
      <c r="E18" s="548"/>
      <c r="F18" s="548"/>
      <c r="G18" s="548"/>
      <c r="H18" s="548"/>
    </row>
    <row r="19" spans="1:12" ht="181.5" customHeight="1" x14ac:dyDescent="0.5">
      <c r="A19" s="548"/>
      <c r="B19" s="548"/>
      <c r="C19" s="548"/>
      <c r="D19" s="548"/>
      <c r="E19" s="548"/>
      <c r="F19" s="548"/>
      <c r="G19" s="548"/>
      <c r="H19" s="548"/>
    </row>
    <row r="20" spans="1:12" x14ac:dyDescent="0.5"/>
    <row r="21" spans="1:12" x14ac:dyDescent="0.5"/>
    <row r="22" spans="1:12" x14ac:dyDescent="0.5"/>
    <row r="23" spans="1:12" x14ac:dyDescent="0.5"/>
    <row r="24" spans="1:12" x14ac:dyDescent="0.5"/>
    <row r="25" spans="1:12" x14ac:dyDescent="0.5"/>
    <row r="26" spans="1:12" x14ac:dyDescent="0.5"/>
    <row r="27" spans="1:12" x14ac:dyDescent="0.5"/>
  </sheetData>
  <sheetProtection formatCells="0" formatRows="0" insertRows="0" deleteRows="0"/>
  <mergeCells count="20">
    <mergeCell ref="A18:H19"/>
    <mergeCell ref="A6:C6"/>
    <mergeCell ref="D6:F6"/>
    <mergeCell ref="G6:H6"/>
    <mergeCell ref="A7:C7"/>
    <mergeCell ref="D7:E7"/>
    <mergeCell ref="F7:F8"/>
    <mergeCell ref="G7:G8"/>
    <mergeCell ref="H7:H8"/>
    <mergeCell ref="A12:C12"/>
    <mergeCell ref="A13:H13"/>
    <mergeCell ref="A14:H14"/>
    <mergeCell ref="A15:H15"/>
    <mergeCell ref="A17:H17"/>
    <mergeCell ref="A1:H1"/>
    <mergeCell ref="A2:H2"/>
    <mergeCell ref="A3:B3"/>
    <mergeCell ref="C3:H3"/>
    <mergeCell ref="A4:B4"/>
    <mergeCell ref="C4:H4"/>
  </mergeCells>
  <dataValidations count="1">
    <dataValidation type="list" allowBlank="1" showInputMessage="1" showErrorMessage="1" sqref="AN8:AN9">
      <formula1>$AN$8:$AN$9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'[5]AÇÕES ESTRATÉGICAS - DESCRIÇÃO '!#REF!</xm:f>
          </x14:formula1>
          <xm:sqref>C9:C11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>
    <tabColor rgb="FF2A5664"/>
  </sheetPr>
  <dimension ref="A1:U5"/>
  <sheetViews>
    <sheetView showGridLines="0" tabSelected="1" zoomScale="110" zoomScaleNormal="110" zoomScaleSheetLayoutView="90" workbookViewId="0">
      <selection activeCell="M3" sqref="M3"/>
    </sheetView>
  </sheetViews>
  <sheetFormatPr defaultColWidth="0" defaultRowHeight="15.6" zeroHeight="1" x14ac:dyDescent="0.3"/>
  <cols>
    <col min="1" max="11" width="9.109375" style="6" customWidth="1"/>
    <col min="12" max="15" width="9.109375" style="4" customWidth="1"/>
    <col min="16" max="21" width="0" style="4" hidden="1" customWidth="1"/>
    <col min="22" max="16384" width="9.109375" style="4" hidden="1"/>
  </cols>
  <sheetData>
    <row r="1" spans="1:21" s="3" customFormat="1" ht="51.75" customHeight="1" x14ac:dyDescent="0.3">
      <c r="A1" s="409" t="s">
        <v>232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5"/>
      <c r="M1" s="5"/>
      <c r="N1" s="5"/>
      <c r="O1" s="5"/>
      <c r="P1" s="5"/>
    </row>
    <row r="2" spans="1:21" x14ac:dyDescent="0.3">
      <c r="A2" s="407" t="s">
        <v>762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</row>
    <row r="3" spans="1:21" ht="379.5" customHeight="1" x14ac:dyDescent="0.25">
      <c r="A3" s="410"/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94"/>
      <c r="M3" s="95"/>
      <c r="N3" s="95"/>
      <c r="O3" s="95"/>
      <c r="P3" s="95"/>
      <c r="Q3" s="95"/>
      <c r="R3" s="95"/>
      <c r="S3" s="95"/>
      <c r="T3" s="95"/>
      <c r="U3" s="95"/>
    </row>
    <row r="4" spans="1:21" x14ac:dyDescent="0.3">
      <c r="A4" s="407" t="s">
        <v>139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1"/>
      <c r="M4" s="1"/>
      <c r="N4" s="1"/>
      <c r="O4" s="1"/>
      <c r="P4" s="1"/>
    </row>
    <row r="5" spans="1:21" ht="300" customHeight="1" x14ac:dyDescent="0.3"/>
  </sheetData>
  <mergeCells count="4">
    <mergeCell ref="A4:K4"/>
    <mergeCell ref="A1:K1"/>
    <mergeCell ref="A2:K2"/>
    <mergeCell ref="A3:K3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owerPoint.Slide.12" shapeId="40961" r:id="rId4">
          <objectPr defaultSize="0" autoPict="0" r:id="rId5">
            <anchor moveWithCells="1">
              <from>
                <xdr:col>0</xdr:col>
                <xdr:colOff>0</xdr:colOff>
                <xdr:row>2</xdr:row>
                <xdr:rowOff>22860</xdr:rowOff>
              </from>
              <to>
                <xdr:col>10</xdr:col>
                <xdr:colOff>579120</xdr:colOff>
                <xdr:row>2</xdr:row>
                <xdr:rowOff>4800600</xdr:rowOff>
              </to>
            </anchor>
          </objectPr>
        </oleObject>
      </mc:Choice>
      <mc:Fallback>
        <oleObject progId="PowerPoint.Slide.12" shapeId="40961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rgb="FFFFFF00"/>
  </sheetPr>
  <dimension ref="A1:AN103"/>
  <sheetViews>
    <sheetView showGridLines="0" topLeftCell="A22" zoomScale="80" zoomScaleNormal="80" zoomScaleSheetLayoutView="80" workbookViewId="0">
      <selection activeCell="B32" sqref="B32"/>
    </sheetView>
  </sheetViews>
  <sheetFormatPr defaultColWidth="0" defaultRowHeight="25.8" zeroHeight="1" x14ac:dyDescent="0.5"/>
  <cols>
    <col min="1" max="1" width="18.44140625" style="265" customWidth="1"/>
    <col min="2" max="2" width="79.6640625" style="265" customWidth="1"/>
    <col min="3" max="3" width="22.109375" style="265" customWidth="1"/>
    <col min="4" max="4" width="23.44140625" style="265" customWidth="1"/>
    <col min="5" max="5" width="18.44140625" style="265" customWidth="1"/>
    <col min="6" max="6" width="14.33203125" style="265" customWidth="1"/>
    <col min="7" max="8" width="18.109375" style="289" hidden="1" customWidth="1"/>
    <col min="9" max="9" width="10.33203125" style="265" bestFit="1" customWidth="1"/>
    <col min="10" max="40" width="0" style="266" hidden="1" customWidth="1"/>
    <col min="41" max="16384" width="36.88671875" style="266" hidden="1"/>
  </cols>
  <sheetData>
    <row r="1" spans="1:40" x14ac:dyDescent="0.5">
      <c r="A1" s="531" t="s">
        <v>559</v>
      </c>
      <c r="B1" s="532"/>
      <c r="C1" s="532"/>
      <c r="D1" s="532"/>
      <c r="E1" s="532"/>
      <c r="F1" s="532"/>
      <c r="G1" s="532"/>
      <c r="H1" s="533"/>
    </row>
    <row r="2" spans="1:40" ht="63.75" customHeight="1" x14ac:dyDescent="0.5">
      <c r="A2" s="534" t="s">
        <v>560</v>
      </c>
      <c r="B2" s="534"/>
      <c r="C2" s="534"/>
      <c r="D2" s="534"/>
      <c r="E2" s="534"/>
      <c r="F2" s="534"/>
      <c r="G2" s="534"/>
      <c r="H2" s="535"/>
    </row>
    <row r="3" spans="1:40" x14ac:dyDescent="0.5">
      <c r="A3" s="536" t="s">
        <v>561</v>
      </c>
      <c r="B3" s="537"/>
      <c r="C3" s="557" t="str">
        <f>'Quadro Geral'!C49</f>
        <v>Manutenção das atividades da gerência administrativa</v>
      </c>
      <c r="D3" s="557"/>
      <c r="E3" s="557"/>
      <c r="F3" s="557"/>
      <c r="G3" s="557"/>
      <c r="H3" s="558"/>
      <c r="N3" s="267"/>
      <c r="O3" s="268"/>
      <c r="P3" s="268"/>
      <c r="Q3" s="268"/>
      <c r="R3" s="268"/>
      <c r="S3" s="268"/>
      <c r="T3" s="268"/>
      <c r="U3" s="268"/>
      <c r="V3" s="268"/>
      <c r="W3" s="268"/>
    </row>
    <row r="4" spans="1:40" ht="30.75" customHeight="1" x14ac:dyDescent="0.5">
      <c r="A4" s="537" t="s">
        <v>34</v>
      </c>
      <c r="B4" s="537"/>
      <c r="C4" s="557" t="str">
        <f>'Quadro Geral'!E49</f>
        <v>Aprimorar e inovar os processos e as ações</v>
      </c>
      <c r="D4" s="557"/>
      <c r="E4" s="557"/>
      <c r="F4" s="557"/>
      <c r="G4" s="557"/>
      <c r="H4" s="558"/>
      <c r="V4" s="268"/>
      <c r="W4" s="268"/>
    </row>
    <row r="5" spans="1:40" s="272" customFormat="1" ht="49.5" customHeight="1" x14ac:dyDescent="0.5">
      <c r="A5" s="269"/>
      <c r="B5" s="269"/>
      <c r="C5" s="269"/>
      <c r="D5" s="270"/>
      <c r="E5" s="270"/>
      <c r="F5" s="270"/>
      <c r="G5" s="270" t="s">
        <v>155</v>
      </c>
      <c r="H5" s="270"/>
      <c r="I5" s="271"/>
      <c r="N5" s="273"/>
      <c r="O5" s="274"/>
      <c r="P5" s="274"/>
      <c r="Q5" s="274"/>
      <c r="R5" s="274"/>
      <c r="S5" s="274"/>
      <c r="T5" s="274"/>
      <c r="U5" s="274"/>
      <c r="V5" s="274"/>
      <c r="W5" s="274"/>
    </row>
    <row r="6" spans="1:40" x14ac:dyDescent="0.5">
      <c r="A6" s="540" t="s">
        <v>562</v>
      </c>
      <c r="B6" s="541"/>
      <c r="C6" s="541"/>
      <c r="D6" s="540" t="s">
        <v>563</v>
      </c>
      <c r="E6" s="541"/>
      <c r="F6" s="542"/>
      <c r="G6" s="543" t="s">
        <v>564</v>
      </c>
      <c r="H6" s="544"/>
      <c r="M6" s="274"/>
      <c r="N6" s="274"/>
      <c r="O6" s="274"/>
      <c r="P6" s="274"/>
      <c r="Q6" s="274"/>
      <c r="R6" s="274"/>
      <c r="S6" s="274"/>
      <c r="T6" s="274"/>
      <c r="U6" s="268"/>
      <c r="V6" s="268"/>
      <c r="W6" s="268"/>
    </row>
    <row r="7" spans="1:40" x14ac:dyDescent="0.5">
      <c r="A7" s="540" t="s">
        <v>565</v>
      </c>
      <c r="B7" s="541"/>
      <c r="C7" s="542"/>
      <c r="D7" s="540" t="s">
        <v>566</v>
      </c>
      <c r="E7" s="542"/>
      <c r="F7" s="545" t="s">
        <v>567</v>
      </c>
      <c r="G7" s="546" t="s">
        <v>568</v>
      </c>
      <c r="H7" s="546" t="s">
        <v>569</v>
      </c>
      <c r="M7" s="274"/>
      <c r="N7" s="274"/>
      <c r="O7" s="274"/>
      <c r="P7" s="274"/>
      <c r="Q7" s="274"/>
      <c r="R7" s="274"/>
      <c r="S7" s="274"/>
      <c r="T7" s="274"/>
      <c r="U7" s="268"/>
      <c r="V7" s="268"/>
      <c r="W7" s="268"/>
    </row>
    <row r="8" spans="1:40" ht="63" customHeight="1" x14ac:dyDescent="0.5">
      <c r="A8" s="275" t="s">
        <v>570</v>
      </c>
      <c r="B8" s="275" t="s">
        <v>571</v>
      </c>
      <c r="C8" s="276" t="s">
        <v>572</v>
      </c>
      <c r="D8" s="275" t="s">
        <v>573</v>
      </c>
      <c r="E8" s="275" t="s">
        <v>574</v>
      </c>
      <c r="F8" s="545"/>
      <c r="G8" s="547"/>
      <c r="H8" s="547"/>
      <c r="M8" s="274"/>
      <c r="N8" s="274"/>
      <c r="O8" s="274"/>
      <c r="P8" s="274"/>
      <c r="Q8" s="274"/>
      <c r="R8" s="274"/>
      <c r="S8" s="274"/>
      <c r="T8" s="274"/>
      <c r="U8" s="268"/>
      <c r="V8" s="268"/>
      <c r="W8" s="268"/>
      <c r="AN8" s="266" t="s">
        <v>72</v>
      </c>
    </row>
    <row r="9" spans="1:40" ht="32.25" customHeight="1" x14ac:dyDescent="0.5">
      <c r="A9" s="12"/>
      <c r="B9" s="319" t="s">
        <v>705</v>
      </c>
      <c r="C9" s="12"/>
      <c r="D9" s="13">
        <v>123774.45</v>
      </c>
      <c r="E9" s="13">
        <v>0</v>
      </c>
      <c r="F9" s="277">
        <f t="shared" ref="F9:F40" si="0">IFERROR(E9/D9*100-100,)</f>
        <v>-100</v>
      </c>
      <c r="G9" s="13"/>
      <c r="H9" s="278">
        <f t="shared" ref="H9:H40" si="1">IFERROR(G9/E9*100,)</f>
        <v>0</v>
      </c>
      <c r="M9" s="274"/>
      <c r="N9" s="267"/>
      <c r="O9" s="268"/>
      <c r="P9" s="268"/>
      <c r="Q9" s="268"/>
      <c r="R9" s="268"/>
      <c r="S9" s="268"/>
      <c r="T9" s="268"/>
      <c r="U9" s="268"/>
      <c r="V9" s="268"/>
      <c r="W9" s="268"/>
      <c r="AN9" s="266" t="s">
        <v>575</v>
      </c>
    </row>
    <row r="10" spans="1:40" s="327" customFormat="1" ht="32.25" customHeight="1" x14ac:dyDescent="0.5">
      <c r="A10" s="319"/>
      <c r="B10" s="319" t="s">
        <v>640</v>
      </c>
      <c r="C10" s="319"/>
      <c r="D10" s="13">
        <v>10008</v>
      </c>
      <c r="E10" s="13">
        <v>0</v>
      </c>
      <c r="F10" s="277">
        <f t="shared" si="0"/>
        <v>-100</v>
      </c>
      <c r="G10" s="13"/>
      <c r="H10" s="278"/>
      <c r="I10" s="265"/>
      <c r="M10" s="330"/>
      <c r="N10" s="329"/>
      <c r="O10" s="328"/>
      <c r="P10" s="328"/>
      <c r="Q10" s="328"/>
      <c r="R10" s="328"/>
      <c r="S10" s="328"/>
      <c r="T10" s="328"/>
      <c r="U10" s="328"/>
      <c r="V10" s="328"/>
      <c r="W10" s="328"/>
    </row>
    <row r="11" spans="1:40" s="327" customFormat="1" ht="32.25" customHeight="1" x14ac:dyDescent="0.5">
      <c r="A11" s="319"/>
      <c r="B11" s="319" t="s">
        <v>706</v>
      </c>
      <c r="C11" s="319"/>
      <c r="D11" s="13">
        <v>67900</v>
      </c>
      <c r="E11" s="13">
        <v>0</v>
      </c>
      <c r="F11" s="277">
        <f t="shared" si="0"/>
        <v>-100</v>
      </c>
      <c r="G11" s="13"/>
      <c r="H11" s="278"/>
      <c r="I11" s="265"/>
      <c r="M11" s="330"/>
      <c r="N11" s="329"/>
      <c r="O11" s="328"/>
      <c r="P11" s="328"/>
      <c r="Q11" s="328"/>
      <c r="R11" s="328"/>
      <c r="S11" s="328"/>
      <c r="T11" s="328"/>
      <c r="U11" s="328"/>
      <c r="V11" s="328"/>
      <c r="W11" s="328"/>
    </row>
    <row r="12" spans="1:40" s="327" customFormat="1" ht="32.25" customHeight="1" x14ac:dyDescent="0.5">
      <c r="A12" s="319"/>
      <c r="B12" s="319" t="s">
        <v>707</v>
      </c>
      <c r="C12" s="319"/>
      <c r="D12" s="13">
        <v>5112</v>
      </c>
      <c r="E12" s="13">
        <v>0</v>
      </c>
      <c r="F12" s="277">
        <f t="shared" si="0"/>
        <v>-100</v>
      </c>
      <c r="G12" s="13"/>
      <c r="H12" s="278"/>
      <c r="I12" s="265"/>
      <c r="M12" s="330"/>
      <c r="N12" s="329"/>
      <c r="O12" s="328"/>
      <c r="P12" s="328"/>
      <c r="Q12" s="328"/>
      <c r="R12" s="328"/>
      <c r="S12" s="328"/>
      <c r="T12" s="328"/>
      <c r="U12" s="328"/>
      <c r="V12" s="328"/>
      <c r="W12" s="328"/>
    </row>
    <row r="13" spans="1:40" s="327" customFormat="1" ht="32.25" customHeight="1" x14ac:dyDescent="0.5">
      <c r="A13" s="319"/>
      <c r="B13" s="319" t="s">
        <v>642</v>
      </c>
      <c r="C13" s="319"/>
      <c r="D13" s="13">
        <v>22253.32</v>
      </c>
      <c r="E13" s="13">
        <v>0</v>
      </c>
      <c r="F13" s="277">
        <f t="shared" si="0"/>
        <v>-100</v>
      </c>
      <c r="G13" s="13"/>
      <c r="H13" s="278"/>
      <c r="I13" s="265"/>
      <c r="M13" s="330"/>
      <c r="N13" s="329"/>
      <c r="O13" s="328"/>
      <c r="P13" s="328"/>
      <c r="Q13" s="328"/>
      <c r="R13" s="328"/>
      <c r="S13" s="328"/>
      <c r="T13" s="328"/>
      <c r="U13" s="328"/>
      <c r="V13" s="328"/>
      <c r="W13" s="328"/>
    </row>
    <row r="14" spans="1:40" s="327" customFormat="1" ht="32.25" customHeight="1" x14ac:dyDescent="0.5">
      <c r="A14" s="319"/>
      <c r="B14" s="319" t="s">
        <v>643</v>
      </c>
      <c r="C14" s="319"/>
      <c r="D14" s="13">
        <v>12000</v>
      </c>
      <c r="E14" s="13">
        <v>0</v>
      </c>
      <c r="F14" s="277">
        <f t="shared" si="0"/>
        <v>-100</v>
      </c>
      <c r="G14" s="13"/>
      <c r="H14" s="278"/>
      <c r="I14" s="265"/>
      <c r="M14" s="330"/>
      <c r="N14" s="329"/>
      <c r="O14" s="328"/>
      <c r="P14" s="328"/>
      <c r="Q14" s="328"/>
      <c r="R14" s="328"/>
      <c r="S14" s="328"/>
      <c r="T14" s="328"/>
      <c r="U14" s="328"/>
      <c r="V14" s="328"/>
      <c r="W14" s="328"/>
    </row>
    <row r="15" spans="1:40" s="327" customFormat="1" ht="32.25" customHeight="1" x14ac:dyDescent="0.5">
      <c r="A15" s="319"/>
      <c r="B15" s="319" t="s">
        <v>644</v>
      </c>
      <c r="C15" s="319"/>
      <c r="D15" s="13">
        <v>30000</v>
      </c>
      <c r="E15" s="13">
        <v>0</v>
      </c>
      <c r="F15" s="277">
        <f t="shared" si="0"/>
        <v>-100</v>
      </c>
      <c r="G15" s="13"/>
      <c r="H15" s="278"/>
      <c r="I15" s="265"/>
      <c r="M15" s="330"/>
      <c r="N15" s="329"/>
      <c r="O15" s="328"/>
      <c r="P15" s="328"/>
      <c r="Q15" s="328"/>
      <c r="R15" s="328"/>
      <c r="S15" s="328"/>
      <c r="T15" s="328"/>
      <c r="U15" s="328"/>
      <c r="V15" s="328"/>
      <c r="W15" s="328"/>
    </row>
    <row r="16" spans="1:40" s="327" customFormat="1" ht="32.25" customHeight="1" x14ac:dyDescent="0.5">
      <c r="A16" s="319"/>
      <c r="B16" s="319" t="s">
        <v>708</v>
      </c>
      <c r="C16" s="319"/>
      <c r="D16" s="13">
        <v>96170.94</v>
      </c>
      <c r="E16" s="13">
        <v>0</v>
      </c>
      <c r="F16" s="277">
        <f t="shared" si="0"/>
        <v>-100</v>
      </c>
      <c r="G16" s="13"/>
      <c r="H16" s="278"/>
      <c r="I16" s="265"/>
      <c r="M16" s="330"/>
      <c r="N16" s="329"/>
      <c r="O16" s="328"/>
      <c r="P16" s="328"/>
      <c r="Q16" s="328"/>
      <c r="R16" s="328"/>
      <c r="S16" s="328"/>
      <c r="T16" s="328"/>
      <c r="U16" s="328"/>
      <c r="V16" s="328"/>
      <c r="W16" s="328"/>
    </row>
    <row r="17" spans="1:23" s="327" customFormat="1" ht="32.25" customHeight="1" x14ac:dyDescent="0.5">
      <c r="A17" s="319"/>
      <c r="B17" s="319" t="s">
        <v>648</v>
      </c>
      <c r="C17" s="319"/>
      <c r="D17" s="13">
        <v>37000</v>
      </c>
      <c r="E17" s="13">
        <v>0</v>
      </c>
      <c r="F17" s="277">
        <f t="shared" si="0"/>
        <v>-100</v>
      </c>
      <c r="G17" s="13"/>
      <c r="H17" s="278"/>
      <c r="I17" s="265"/>
      <c r="M17" s="330"/>
      <c r="N17" s="329"/>
      <c r="O17" s="328"/>
      <c r="P17" s="328"/>
      <c r="Q17" s="328"/>
      <c r="R17" s="328"/>
      <c r="S17" s="328"/>
      <c r="T17" s="328"/>
      <c r="U17" s="328"/>
      <c r="V17" s="328"/>
      <c r="W17" s="328"/>
    </row>
    <row r="18" spans="1:23" s="327" customFormat="1" ht="32.25" customHeight="1" x14ac:dyDescent="0.5">
      <c r="A18" s="319"/>
      <c r="B18" s="319" t="s">
        <v>709</v>
      </c>
      <c r="C18" s="319"/>
      <c r="D18" s="13">
        <v>20000</v>
      </c>
      <c r="E18" s="13">
        <v>0</v>
      </c>
      <c r="F18" s="277">
        <f t="shared" si="0"/>
        <v>-100</v>
      </c>
      <c r="G18" s="13"/>
      <c r="H18" s="278"/>
      <c r="I18" s="265"/>
      <c r="M18" s="330"/>
      <c r="N18" s="329"/>
      <c r="O18" s="328"/>
      <c r="P18" s="328"/>
      <c r="Q18" s="328"/>
      <c r="R18" s="328"/>
      <c r="S18" s="328"/>
      <c r="T18" s="328"/>
      <c r="U18" s="328"/>
      <c r="V18" s="328"/>
      <c r="W18" s="328"/>
    </row>
    <row r="19" spans="1:23" s="327" customFormat="1" ht="32.25" customHeight="1" x14ac:dyDescent="0.5">
      <c r="A19" s="319"/>
      <c r="B19" s="319" t="s">
        <v>710</v>
      </c>
      <c r="C19" s="319"/>
      <c r="D19" s="13">
        <v>20000</v>
      </c>
      <c r="E19" s="13">
        <v>0</v>
      </c>
      <c r="F19" s="277">
        <f t="shared" si="0"/>
        <v>-100</v>
      </c>
      <c r="G19" s="13"/>
      <c r="H19" s="278"/>
      <c r="I19" s="265"/>
      <c r="M19" s="330"/>
      <c r="N19" s="329"/>
      <c r="O19" s="328"/>
      <c r="P19" s="328"/>
      <c r="Q19" s="328"/>
      <c r="R19" s="328"/>
      <c r="S19" s="328"/>
      <c r="T19" s="328"/>
      <c r="U19" s="328"/>
      <c r="V19" s="328"/>
      <c r="W19" s="328"/>
    </row>
    <row r="20" spans="1:23" s="327" customFormat="1" ht="32.25" customHeight="1" x14ac:dyDescent="0.5">
      <c r="A20" s="319"/>
      <c r="B20" s="317" t="s">
        <v>711</v>
      </c>
      <c r="C20" s="319"/>
      <c r="D20" s="13">
        <v>140000</v>
      </c>
      <c r="E20" s="13">
        <v>0</v>
      </c>
      <c r="F20" s="277">
        <f t="shared" si="0"/>
        <v>-100</v>
      </c>
      <c r="G20" s="13"/>
      <c r="H20" s="278"/>
      <c r="I20" s="265"/>
      <c r="M20" s="330"/>
      <c r="N20" s="329"/>
      <c r="O20" s="328"/>
      <c r="P20" s="328"/>
      <c r="Q20" s="328"/>
      <c r="R20" s="328"/>
      <c r="S20" s="328"/>
      <c r="T20" s="328"/>
      <c r="U20" s="328"/>
      <c r="V20" s="328"/>
      <c r="W20" s="328"/>
    </row>
    <row r="21" spans="1:23" s="327" customFormat="1" ht="32.25" customHeight="1" x14ac:dyDescent="0.5">
      <c r="A21" s="319"/>
      <c r="B21" s="319" t="s">
        <v>712</v>
      </c>
      <c r="C21" s="319"/>
      <c r="D21" s="13">
        <v>50000.039999999994</v>
      </c>
      <c r="E21" s="13">
        <v>0</v>
      </c>
      <c r="F21" s="277">
        <f t="shared" si="0"/>
        <v>-100</v>
      </c>
      <c r="G21" s="13"/>
      <c r="H21" s="278"/>
      <c r="I21" s="265"/>
      <c r="M21" s="330"/>
      <c r="N21" s="329"/>
      <c r="O21" s="328"/>
      <c r="P21" s="328"/>
      <c r="Q21" s="328"/>
      <c r="R21" s="328"/>
      <c r="S21" s="328"/>
      <c r="T21" s="328"/>
      <c r="U21" s="328"/>
      <c r="V21" s="328"/>
      <c r="W21" s="328"/>
    </row>
    <row r="22" spans="1:23" s="327" customFormat="1" ht="32.25" customHeight="1" x14ac:dyDescent="0.5">
      <c r="A22" s="319"/>
      <c r="B22" s="319" t="s">
        <v>713</v>
      </c>
      <c r="C22" s="319"/>
      <c r="D22" s="13">
        <v>24132.2</v>
      </c>
      <c r="E22" s="13">
        <v>0</v>
      </c>
      <c r="F22" s="277">
        <f t="shared" si="0"/>
        <v>-100</v>
      </c>
      <c r="G22" s="13"/>
      <c r="H22" s="278"/>
      <c r="I22" s="265"/>
      <c r="M22" s="330"/>
      <c r="N22" s="329"/>
      <c r="O22" s="328"/>
      <c r="P22" s="328"/>
      <c r="Q22" s="328"/>
      <c r="R22" s="328"/>
      <c r="S22" s="328"/>
      <c r="T22" s="328"/>
      <c r="U22" s="328"/>
      <c r="V22" s="328"/>
      <c r="W22" s="328"/>
    </row>
    <row r="23" spans="1:23" s="327" customFormat="1" ht="32.25" customHeight="1" x14ac:dyDescent="0.5">
      <c r="A23" s="319"/>
      <c r="B23" s="319" t="s">
        <v>714</v>
      </c>
      <c r="C23" s="319"/>
      <c r="D23" s="13">
        <v>7000</v>
      </c>
      <c r="E23" s="13">
        <v>0</v>
      </c>
      <c r="F23" s="277">
        <f t="shared" si="0"/>
        <v>-100</v>
      </c>
      <c r="G23" s="13"/>
      <c r="H23" s="278"/>
      <c r="I23" s="265"/>
      <c r="M23" s="330"/>
      <c r="N23" s="329"/>
      <c r="O23" s="328"/>
      <c r="P23" s="328"/>
      <c r="Q23" s="328"/>
      <c r="R23" s="328"/>
      <c r="S23" s="328"/>
      <c r="T23" s="328"/>
      <c r="U23" s="328"/>
      <c r="V23" s="328"/>
      <c r="W23" s="328"/>
    </row>
    <row r="24" spans="1:23" s="327" customFormat="1" ht="32.25" customHeight="1" x14ac:dyDescent="0.5">
      <c r="A24" s="319"/>
      <c r="B24" s="319" t="s">
        <v>715</v>
      </c>
      <c r="C24" s="319"/>
      <c r="D24" s="13">
        <v>4200</v>
      </c>
      <c r="E24" s="13">
        <v>0</v>
      </c>
      <c r="F24" s="277">
        <f t="shared" si="0"/>
        <v>-100</v>
      </c>
      <c r="G24" s="13"/>
      <c r="H24" s="278"/>
      <c r="I24" s="265"/>
      <c r="M24" s="330"/>
      <c r="N24" s="329"/>
      <c r="O24" s="328"/>
      <c r="P24" s="328"/>
      <c r="Q24" s="328"/>
      <c r="R24" s="328"/>
      <c r="S24" s="328"/>
      <c r="T24" s="328"/>
      <c r="U24" s="328"/>
      <c r="V24" s="328"/>
      <c r="W24" s="328"/>
    </row>
    <row r="25" spans="1:23" s="327" customFormat="1" ht="32.25" customHeight="1" x14ac:dyDescent="0.5">
      <c r="A25" s="319"/>
      <c r="B25" s="319" t="s">
        <v>716</v>
      </c>
      <c r="C25" s="319"/>
      <c r="D25" s="13">
        <v>27000</v>
      </c>
      <c r="E25" s="13">
        <v>0</v>
      </c>
      <c r="F25" s="277">
        <f t="shared" si="0"/>
        <v>-100</v>
      </c>
      <c r="G25" s="13"/>
      <c r="H25" s="278"/>
      <c r="I25" s="265"/>
      <c r="M25" s="330"/>
      <c r="N25" s="329"/>
      <c r="O25" s="328"/>
      <c r="P25" s="328"/>
      <c r="Q25" s="328"/>
      <c r="R25" s="328"/>
      <c r="S25" s="328"/>
      <c r="T25" s="328"/>
      <c r="U25" s="328"/>
      <c r="V25" s="328"/>
      <c r="W25" s="328"/>
    </row>
    <row r="26" spans="1:23" s="327" customFormat="1" ht="32.25" customHeight="1" x14ac:dyDescent="0.5">
      <c r="A26" s="319"/>
      <c r="B26" s="297" t="s">
        <v>659</v>
      </c>
      <c r="C26" s="319"/>
      <c r="D26" s="13">
        <v>2800</v>
      </c>
      <c r="E26" s="13">
        <v>0</v>
      </c>
      <c r="F26" s="277">
        <f t="shared" si="0"/>
        <v>-100</v>
      </c>
      <c r="G26" s="13"/>
      <c r="H26" s="278"/>
      <c r="I26" s="265"/>
      <c r="M26" s="330"/>
      <c r="N26" s="329"/>
      <c r="O26" s="328"/>
      <c r="P26" s="328"/>
      <c r="Q26" s="328"/>
      <c r="R26" s="328"/>
      <c r="S26" s="328"/>
      <c r="T26" s="328"/>
      <c r="U26" s="328"/>
      <c r="V26" s="328"/>
      <c r="W26" s="328"/>
    </row>
    <row r="27" spans="1:23" s="327" customFormat="1" ht="32.25" customHeight="1" x14ac:dyDescent="0.5">
      <c r="A27" s="319"/>
      <c r="B27" s="297" t="s">
        <v>678</v>
      </c>
      <c r="C27" s="319"/>
      <c r="D27" s="13">
        <v>37667</v>
      </c>
      <c r="E27" s="13">
        <v>0</v>
      </c>
      <c r="F27" s="277">
        <f t="shared" si="0"/>
        <v>-100</v>
      </c>
      <c r="G27" s="13"/>
      <c r="H27" s="278"/>
      <c r="I27" s="265"/>
      <c r="M27" s="330"/>
      <c r="N27" s="329"/>
      <c r="O27" s="328"/>
      <c r="P27" s="328"/>
      <c r="Q27" s="328"/>
      <c r="R27" s="328"/>
      <c r="S27" s="328"/>
      <c r="T27" s="328"/>
      <c r="U27" s="328"/>
      <c r="V27" s="328"/>
      <c r="W27" s="328"/>
    </row>
    <row r="28" spans="1:23" s="327" customFormat="1" ht="32.25" customHeight="1" x14ac:dyDescent="0.5">
      <c r="A28" s="319"/>
      <c r="B28" s="297" t="s">
        <v>679</v>
      </c>
      <c r="C28" s="319"/>
      <c r="D28" s="13">
        <v>19188</v>
      </c>
      <c r="E28" s="13">
        <v>0</v>
      </c>
      <c r="F28" s="277">
        <f t="shared" si="0"/>
        <v>-100</v>
      </c>
      <c r="G28" s="13"/>
      <c r="H28" s="278"/>
      <c r="I28" s="265"/>
      <c r="M28" s="330"/>
      <c r="N28" s="329"/>
      <c r="O28" s="328"/>
      <c r="P28" s="328"/>
      <c r="Q28" s="328"/>
      <c r="R28" s="328"/>
      <c r="S28" s="328"/>
      <c r="T28" s="328"/>
      <c r="U28" s="328"/>
      <c r="V28" s="328"/>
      <c r="W28" s="328"/>
    </row>
    <row r="29" spans="1:23" s="327" customFormat="1" ht="32.25" customHeight="1" x14ac:dyDescent="0.5">
      <c r="A29" s="319"/>
      <c r="B29" s="297" t="s">
        <v>680</v>
      </c>
      <c r="C29" s="319"/>
      <c r="D29" s="13">
        <v>0</v>
      </c>
      <c r="E29" s="13">
        <v>0</v>
      </c>
      <c r="F29" s="277">
        <f t="shared" si="0"/>
        <v>0</v>
      </c>
      <c r="G29" s="13"/>
      <c r="H29" s="278"/>
      <c r="I29" s="265"/>
      <c r="M29" s="330"/>
      <c r="N29" s="329"/>
      <c r="O29" s="328"/>
      <c r="P29" s="328"/>
      <c r="Q29" s="328"/>
      <c r="R29" s="328"/>
      <c r="S29" s="328"/>
      <c r="T29" s="328"/>
      <c r="U29" s="328"/>
      <c r="V29" s="328"/>
      <c r="W29" s="328"/>
    </row>
    <row r="30" spans="1:23" s="327" customFormat="1" ht="32.25" customHeight="1" x14ac:dyDescent="0.5">
      <c r="A30" s="319"/>
      <c r="B30" s="297" t="s">
        <v>681</v>
      </c>
      <c r="C30" s="319"/>
      <c r="D30" s="13">
        <v>0</v>
      </c>
      <c r="E30" s="13">
        <v>0</v>
      </c>
      <c r="F30" s="277">
        <f t="shared" si="0"/>
        <v>0</v>
      </c>
      <c r="G30" s="13"/>
      <c r="H30" s="278"/>
      <c r="I30" s="265"/>
      <c r="M30" s="330"/>
      <c r="N30" s="329"/>
      <c r="O30" s="328"/>
      <c r="P30" s="328"/>
      <c r="Q30" s="328"/>
      <c r="R30" s="328"/>
      <c r="S30" s="328"/>
      <c r="T30" s="328"/>
      <c r="U30" s="328"/>
      <c r="V30" s="328"/>
      <c r="W30" s="328"/>
    </row>
    <row r="31" spans="1:23" s="327" customFormat="1" ht="32.25" customHeight="1" x14ac:dyDescent="0.5">
      <c r="A31" s="319"/>
      <c r="B31" s="297" t="s">
        <v>717</v>
      </c>
      <c r="C31" s="319"/>
      <c r="D31" s="13">
        <v>0</v>
      </c>
      <c r="E31" s="13">
        <v>0</v>
      </c>
      <c r="F31" s="277">
        <f t="shared" si="0"/>
        <v>0</v>
      </c>
      <c r="G31" s="13"/>
      <c r="H31" s="278"/>
      <c r="I31" s="265"/>
      <c r="M31" s="330"/>
      <c r="N31" s="329"/>
      <c r="O31" s="328"/>
      <c r="P31" s="328"/>
      <c r="Q31" s="328"/>
      <c r="R31" s="328"/>
      <c r="S31" s="328"/>
      <c r="T31" s="328"/>
      <c r="U31" s="328"/>
      <c r="V31" s="328"/>
      <c r="W31" s="328"/>
    </row>
    <row r="32" spans="1:23" s="327" customFormat="1" ht="32.25" customHeight="1" x14ac:dyDescent="0.5">
      <c r="A32" s="319"/>
      <c r="B32" s="297" t="s">
        <v>682</v>
      </c>
      <c r="C32" s="319"/>
      <c r="D32" s="13">
        <v>29723</v>
      </c>
      <c r="E32" s="13">
        <v>0</v>
      </c>
      <c r="F32" s="277">
        <f t="shared" si="0"/>
        <v>-100</v>
      </c>
      <c r="G32" s="13"/>
      <c r="H32" s="278"/>
      <c r="I32" s="265"/>
      <c r="M32" s="330"/>
      <c r="N32" s="329"/>
      <c r="O32" s="328"/>
      <c r="P32" s="328"/>
      <c r="Q32" s="328"/>
      <c r="R32" s="328"/>
      <c r="S32" s="328"/>
      <c r="T32" s="328"/>
      <c r="U32" s="328"/>
      <c r="V32" s="328"/>
      <c r="W32" s="328"/>
    </row>
    <row r="33" spans="1:23" s="327" customFormat="1" ht="32.25" customHeight="1" x14ac:dyDescent="0.5">
      <c r="A33" s="319"/>
      <c r="B33" s="297" t="s">
        <v>684</v>
      </c>
      <c r="C33" s="319"/>
      <c r="D33" s="13">
        <v>0</v>
      </c>
      <c r="E33" s="13">
        <v>0</v>
      </c>
      <c r="F33" s="277">
        <f t="shared" si="0"/>
        <v>0</v>
      </c>
      <c r="G33" s="13"/>
      <c r="H33" s="278"/>
      <c r="I33" s="265"/>
      <c r="M33" s="330"/>
      <c r="N33" s="329"/>
      <c r="O33" s="328"/>
      <c r="P33" s="328"/>
      <c r="Q33" s="328"/>
      <c r="R33" s="328"/>
      <c r="S33" s="328"/>
      <c r="T33" s="328"/>
      <c r="U33" s="328"/>
      <c r="V33" s="328"/>
      <c r="W33" s="328"/>
    </row>
    <row r="34" spans="1:23" s="327" customFormat="1" ht="32.25" customHeight="1" x14ac:dyDescent="0.5">
      <c r="A34" s="319"/>
      <c r="B34" s="297" t="s">
        <v>718</v>
      </c>
      <c r="C34" s="319"/>
      <c r="D34" s="13">
        <v>9950</v>
      </c>
      <c r="E34" s="13">
        <v>0</v>
      </c>
      <c r="F34" s="277">
        <f t="shared" si="0"/>
        <v>-100</v>
      </c>
      <c r="G34" s="13"/>
      <c r="H34" s="278"/>
      <c r="I34" s="265"/>
      <c r="M34" s="330"/>
      <c r="N34" s="329"/>
      <c r="O34" s="328"/>
      <c r="P34" s="328"/>
      <c r="Q34" s="328"/>
      <c r="R34" s="328"/>
      <c r="S34" s="328"/>
      <c r="T34" s="328"/>
      <c r="U34" s="328"/>
      <c r="V34" s="328"/>
      <c r="W34" s="328"/>
    </row>
    <row r="35" spans="1:23" s="327" customFormat="1" ht="32.25" customHeight="1" x14ac:dyDescent="0.5">
      <c r="A35" s="319"/>
      <c r="B35" s="297" t="s">
        <v>634</v>
      </c>
      <c r="C35" s="319"/>
      <c r="D35" s="13">
        <v>11518</v>
      </c>
      <c r="E35" s="13">
        <v>0</v>
      </c>
      <c r="F35" s="277">
        <f t="shared" si="0"/>
        <v>-100</v>
      </c>
      <c r="G35" s="13"/>
      <c r="H35" s="278"/>
      <c r="I35" s="265"/>
      <c r="M35" s="330"/>
      <c r="N35" s="329"/>
      <c r="O35" s="328"/>
      <c r="P35" s="328"/>
      <c r="Q35" s="328"/>
      <c r="R35" s="328"/>
      <c r="S35" s="328"/>
      <c r="T35" s="328"/>
      <c r="U35" s="328"/>
      <c r="V35" s="328"/>
      <c r="W35" s="328"/>
    </row>
    <row r="36" spans="1:23" s="327" customFormat="1" ht="32.25" customHeight="1" x14ac:dyDescent="0.5">
      <c r="A36" s="319"/>
      <c r="B36" s="297" t="s">
        <v>719</v>
      </c>
      <c r="C36" s="319"/>
      <c r="D36" s="13">
        <v>1000</v>
      </c>
      <c r="E36" s="13">
        <v>0</v>
      </c>
      <c r="F36" s="277">
        <f t="shared" si="0"/>
        <v>-100</v>
      </c>
      <c r="G36" s="13"/>
      <c r="H36" s="278"/>
      <c r="I36" s="265"/>
      <c r="M36" s="330"/>
      <c r="N36" s="329"/>
      <c r="O36" s="328"/>
      <c r="P36" s="328"/>
      <c r="Q36" s="328"/>
      <c r="R36" s="328"/>
      <c r="S36" s="328"/>
      <c r="T36" s="328"/>
      <c r="U36" s="328"/>
      <c r="V36" s="328"/>
      <c r="W36" s="328"/>
    </row>
    <row r="37" spans="1:23" s="327" customFormat="1" ht="32.25" customHeight="1" x14ac:dyDescent="0.5">
      <c r="A37" s="319"/>
      <c r="B37" s="297" t="s">
        <v>720</v>
      </c>
      <c r="C37" s="319"/>
      <c r="D37" s="13">
        <v>4320</v>
      </c>
      <c r="E37" s="13">
        <v>0</v>
      </c>
      <c r="F37" s="277">
        <f t="shared" si="0"/>
        <v>-100</v>
      </c>
      <c r="G37" s="13"/>
      <c r="H37" s="278"/>
      <c r="I37" s="265"/>
      <c r="M37" s="330"/>
      <c r="N37" s="329"/>
      <c r="O37" s="328"/>
      <c r="P37" s="328"/>
      <c r="Q37" s="328"/>
      <c r="R37" s="328"/>
      <c r="S37" s="328"/>
      <c r="T37" s="328"/>
      <c r="U37" s="328"/>
      <c r="V37" s="328"/>
      <c r="W37" s="328"/>
    </row>
    <row r="38" spans="1:23" s="327" customFormat="1" ht="32.25" customHeight="1" x14ac:dyDescent="0.5">
      <c r="A38" s="319"/>
      <c r="B38" s="297" t="s">
        <v>620</v>
      </c>
      <c r="C38" s="319"/>
      <c r="D38" s="320">
        <v>785439.75</v>
      </c>
      <c r="E38" s="13">
        <v>0</v>
      </c>
      <c r="F38" s="277">
        <f t="shared" si="0"/>
        <v>-100</v>
      </c>
      <c r="G38" s="13"/>
      <c r="H38" s="278"/>
      <c r="I38" s="265"/>
      <c r="M38" s="330"/>
      <c r="N38" s="329"/>
      <c r="O38" s="328"/>
      <c r="P38" s="328"/>
      <c r="Q38" s="328"/>
      <c r="R38" s="328"/>
      <c r="S38" s="328"/>
      <c r="T38" s="328"/>
      <c r="U38" s="328"/>
      <c r="V38" s="328"/>
      <c r="W38" s="328"/>
    </row>
    <row r="39" spans="1:23" s="327" customFormat="1" ht="32.25" customHeight="1" x14ac:dyDescent="0.5">
      <c r="A39" s="319"/>
      <c r="B39" s="297" t="s">
        <v>621</v>
      </c>
      <c r="C39" s="319"/>
      <c r="D39" s="320">
        <v>177484</v>
      </c>
      <c r="E39" s="13">
        <v>0</v>
      </c>
      <c r="F39" s="277">
        <f t="shared" si="0"/>
        <v>-100</v>
      </c>
      <c r="G39" s="13"/>
      <c r="H39" s="278"/>
      <c r="I39" s="265"/>
      <c r="M39" s="330"/>
      <c r="N39" s="329"/>
      <c r="O39" s="328"/>
      <c r="P39" s="328"/>
      <c r="Q39" s="328"/>
      <c r="R39" s="328"/>
      <c r="S39" s="328"/>
      <c r="T39" s="328"/>
      <c r="U39" s="328"/>
      <c r="V39" s="328"/>
      <c r="W39" s="328"/>
    </row>
    <row r="40" spans="1:23" s="284" customFormat="1" x14ac:dyDescent="0.3">
      <c r="A40" s="552" t="s">
        <v>0</v>
      </c>
      <c r="B40" s="552"/>
      <c r="C40" s="552"/>
      <c r="D40" s="280">
        <f>SUM(D9:D39)</f>
        <v>1775640.7</v>
      </c>
      <c r="E40" s="280">
        <f>SUM(E9:E39)</f>
        <v>0</v>
      </c>
      <c r="F40" s="281">
        <f t="shared" si="0"/>
        <v>-100</v>
      </c>
      <c r="G40" s="280">
        <f>SUM(G9:G39)</f>
        <v>0</v>
      </c>
      <c r="H40" s="282">
        <f t="shared" si="1"/>
        <v>0</v>
      </c>
      <c r="I40" s="283"/>
    </row>
    <row r="41" spans="1:23" x14ac:dyDescent="0.5">
      <c r="A41" s="553"/>
      <c r="B41" s="553"/>
      <c r="C41" s="553"/>
      <c r="D41" s="553"/>
      <c r="E41" s="553"/>
      <c r="F41" s="553"/>
      <c r="G41" s="553"/>
      <c r="H41" s="553"/>
    </row>
    <row r="42" spans="1:23" x14ac:dyDescent="0.5">
      <c r="A42" s="554" t="s">
        <v>227</v>
      </c>
      <c r="B42" s="555"/>
      <c r="C42" s="555"/>
      <c r="D42" s="555"/>
      <c r="E42" s="555"/>
      <c r="F42" s="555"/>
      <c r="G42" s="555"/>
      <c r="H42" s="556"/>
      <c r="J42" s="285"/>
    </row>
    <row r="43" spans="1:23" x14ac:dyDescent="0.5">
      <c r="A43" s="549"/>
      <c r="B43" s="550"/>
      <c r="C43" s="550"/>
      <c r="D43" s="550"/>
      <c r="E43" s="550"/>
      <c r="F43" s="550"/>
      <c r="G43" s="550"/>
      <c r="H43" s="551"/>
    </row>
    <row r="44" spans="1:23" x14ac:dyDescent="0.5">
      <c r="A44" s="286"/>
      <c r="B44" s="286"/>
      <c r="C44" s="286"/>
      <c r="D44" s="286"/>
      <c r="E44" s="286"/>
      <c r="F44" s="286"/>
      <c r="G44" s="286"/>
      <c r="H44" s="286"/>
    </row>
    <row r="45" spans="1:23" s="332" customFormat="1" x14ac:dyDescent="0.5">
      <c r="A45" s="286"/>
      <c r="B45" s="286"/>
      <c r="C45" s="286"/>
      <c r="D45" s="286"/>
      <c r="E45" s="286"/>
      <c r="F45" s="286"/>
      <c r="G45" s="286"/>
      <c r="H45" s="286"/>
      <c r="I45" s="265"/>
    </row>
    <row r="46" spans="1:23" s="332" customFormat="1" x14ac:dyDescent="0.5">
      <c r="A46" s="536" t="s">
        <v>561</v>
      </c>
      <c r="B46" s="537"/>
      <c r="C46" s="538" t="str">
        <f>'Quadro Geral'!C50</f>
        <v>Espaço do arquiteto</v>
      </c>
      <c r="D46" s="538"/>
      <c r="E46" s="538"/>
      <c r="F46" s="538"/>
      <c r="G46" s="538"/>
      <c r="H46" s="539"/>
      <c r="I46" s="265"/>
    </row>
    <row r="47" spans="1:23" s="332" customFormat="1" ht="37.799999999999997" customHeight="1" x14ac:dyDescent="0.5">
      <c r="A47" s="537" t="s">
        <v>34</v>
      </c>
      <c r="B47" s="537"/>
      <c r="C47" s="538" t="str">
        <f>'Quadro Geral'!E50</f>
        <v>Assegurar a eficácia no atendimento e no relacionamento com os Arquitetos e Urbanistas e a Sociedade</v>
      </c>
      <c r="D47" s="538"/>
      <c r="E47" s="538"/>
      <c r="F47" s="538"/>
      <c r="G47" s="538"/>
      <c r="H47" s="539"/>
      <c r="I47" s="265"/>
    </row>
    <row r="48" spans="1:23" s="332" customFormat="1" x14ac:dyDescent="0.5">
      <c r="A48" s="303"/>
      <c r="B48" s="303"/>
      <c r="C48" s="303"/>
      <c r="D48" s="270"/>
      <c r="E48" s="270"/>
      <c r="F48" s="270"/>
      <c r="G48" s="270" t="s">
        <v>155</v>
      </c>
      <c r="H48" s="270"/>
      <c r="I48" s="265"/>
    </row>
    <row r="49" spans="1:12" s="332" customFormat="1" x14ac:dyDescent="0.5">
      <c r="A49" s="540" t="s">
        <v>562</v>
      </c>
      <c r="B49" s="541"/>
      <c r="C49" s="541"/>
      <c r="D49" s="540" t="s">
        <v>563</v>
      </c>
      <c r="E49" s="541"/>
      <c r="F49" s="542"/>
      <c r="G49" s="543" t="s">
        <v>564</v>
      </c>
      <c r="H49" s="544"/>
      <c r="I49" s="265"/>
    </row>
    <row r="50" spans="1:12" s="332" customFormat="1" x14ac:dyDescent="0.5">
      <c r="A50" s="540" t="s">
        <v>565</v>
      </c>
      <c r="B50" s="541"/>
      <c r="C50" s="542"/>
      <c r="D50" s="540" t="s">
        <v>566</v>
      </c>
      <c r="E50" s="542"/>
      <c r="F50" s="545" t="s">
        <v>567</v>
      </c>
      <c r="G50" s="546" t="s">
        <v>568</v>
      </c>
      <c r="H50" s="546" t="s">
        <v>569</v>
      </c>
      <c r="I50" s="265"/>
    </row>
    <row r="51" spans="1:12" s="332" customFormat="1" ht="46.8" x14ac:dyDescent="0.5">
      <c r="A51" s="301" t="s">
        <v>570</v>
      </c>
      <c r="B51" s="301" t="s">
        <v>571</v>
      </c>
      <c r="C51" s="276" t="s">
        <v>572</v>
      </c>
      <c r="D51" s="301" t="s">
        <v>573</v>
      </c>
      <c r="E51" s="301" t="s">
        <v>574</v>
      </c>
      <c r="F51" s="545"/>
      <c r="G51" s="547"/>
      <c r="H51" s="547"/>
      <c r="I51" s="265"/>
    </row>
    <row r="52" spans="1:12" s="332" customFormat="1" x14ac:dyDescent="0.5">
      <c r="A52" s="319"/>
      <c r="B52" s="319" t="s">
        <v>721</v>
      </c>
      <c r="C52" s="319"/>
      <c r="D52" s="13">
        <v>50000</v>
      </c>
      <c r="E52" s="13">
        <v>0</v>
      </c>
      <c r="F52" s="277">
        <f t="shared" ref="F52:F54" si="2">IFERROR(E52/D52*100-100,)</f>
        <v>-100</v>
      </c>
      <c r="G52" s="13"/>
      <c r="H52" s="278">
        <f t="shared" ref="H52" si="3">IFERROR(G52/E52*100,)</f>
        <v>0</v>
      </c>
      <c r="I52" s="265"/>
    </row>
    <row r="53" spans="1:12" s="332" customFormat="1" x14ac:dyDescent="0.5">
      <c r="A53" s="319"/>
      <c r="B53" s="319" t="s">
        <v>722</v>
      </c>
      <c r="C53" s="319"/>
      <c r="D53" s="13">
        <v>900000</v>
      </c>
      <c r="E53" s="13">
        <v>0</v>
      </c>
      <c r="F53" s="277">
        <f t="shared" si="2"/>
        <v>-100</v>
      </c>
      <c r="G53" s="13"/>
      <c r="H53" s="278"/>
      <c r="I53" s="265"/>
    </row>
    <row r="54" spans="1:12" s="332" customFormat="1" x14ac:dyDescent="0.5">
      <c r="A54" s="552" t="s">
        <v>0</v>
      </c>
      <c r="B54" s="552"/>
      <c r="C54" s="552"/>
      <c r="D54" s="280">
        <f>SUM(D52:D53)</f>
        <v>950000</v>
      </c>
      <c r="E54" s="280">
        <f>SUM(E52:E53)</f>
        <v>0</v>
      </c>
      <c r="F54" s="281">
        <f t="shared" si="2"/>
        <v>-100</v>
      </c>
      <c r="G54" s="280">
        <f>SUM(G52:G53)</f>
        <v>0</v>
      </c>
      <c r="H54" s="282">
        <f t="shared" ref="H54" si="4">IFERROR(G54/E54*100,)</f>
        <v>0</v>
      </c>
      <c r="I54" s="265"/>
    </row>
    <row r="55" spans="1:12" s="332" customFormat="1" x14ac:dyDescent="0.5">
      <c r="A55" s="553"/>
      <c r="B55" s="553"/>
      <c r="C55" s="553"/>
      <c r="D55" s="553"/>
      <c r="E55" s="553"/>
      <c r="F55" s="553"/>
      <c r="G55" s="553"/>
      <c r="H55" s="553"/>
      <c r="I55" s="265"/>
    </row>
    <row r="56" spans="1:12" s="332" customFormat="1" x14ac:dyDescent="0.5">
      <c r="A56" s="554" t="s">
        <v>227</v>
      </c>
      <c r="B56" s="555"/>
      <c r="C56" s="555"/>
      <c r="D56" s="555"/>
      <c r="E56" s="555"/>
      <c r="F56" s="555"/>
      <c r="G56" s="555"/>
      <c r="H56" s="556"/>
      <c r="I56" s="265"/>
    </row>
    <row r="57" spans="1:12" s="332" customFormat="1" x14ac:dyDescent="0.5">
      <c r="A57" s="549"/>
      <c r="B57" s="550"/>
      <c r="C57" s="550"/>
      <c r="D57" s="550"/>
      <c r="E57" s="550"/>
      <c r="F57" s="550"/>
      <c r="G57" s="550"/>
      <c r="H57" s="551"/>
      <c r="I57" s="265"/>
    </row>
    <row r="58" spans="1:12" s="332" customFormat="1" x14ac:dyDescent="0.5">
      <c r="A58" s="286"/>
      <c r="B58" s="286"/>
      <c r="C58" s="286"/>
      <c r="D58" s="286"/>
      <c r="E58" s="286"/>
      <c r="F58" s="286"/>
      <c r="G58" s="286"/>
      <c r="H58" s="286"/>
      <c r="I58" s="265"/>
    </row>
    <row r="59" spans="1:12" s="332" customFormat="1" x14ac:dyDescent="0.5">
      <c r="A59" s="286"/>
      <c r="B59" s="286"/>
      <c r="C59" s="286"/>
      <c r="D59" s="286"/>
      <c r="E59" s="286"/>
      <c r="F59" s="286"/>
      <c r="G59" s="286"/>
      <c r="H59" s="286"/>
      <c r="I59" s="265"/>
    </row>
    <row r="60" spans="1:12" x14ac:dyDescent="0.5">
      <c r="A60" s="554" t="s">
        <v>577</v>
      </c>
      <c r="B60" s="555"/>
      <c r="C60" s="555"/>
      <c r="D60" s="555"/>
      <c r="E60" s="555"/>
      <c r="F60" s="555"/>
      <c r="G60" s="555"/>
      <c r="H60" s="556"/>
      <c r="I60" s="287"/>
      <c r="J60" s="288"/>
      <c r="K60" s="288"/>
      <c r="L60" s="272"/>
    </row>
    <row r="61" spans="1:12" ht="129" customHeight="1" x14ac:dyDescent="0.5">
      <c r="A61" s="548" t="s">
        <v>578</v>
      </c>
      <c r="B61" s="548"/>
      <c r="C61" s="548"/>
      <c r="D61" s="548"/>
      <c r="E61" s="548"/>
      <c r="F61" s="548"/>
      <c r="G61" s="548"/>
      <c r="H61" s="548"/>
    </row>
    <row r="62" spans="1:12" ht="181.5" customHeight="1" x14ac:dyDescent="0.5">
      <c r="A62" s="548"/>
      <c r="B62" s="548"/>
      <c r="C62" s="548"/>
      <c r="D62" s="548"/>
      <c r="E62" s="548"/>
      <c r="F62" s="548"/>
      <c r="G62" s="548"/>
      <c r="H62" s="548"/>
    </row>
    <row r="63" spans="1:12" x14ac:dyDescent="0.5"/>
    <row r="64" spans="1:12" x14ac:dyDescent="0.5"/>
    <row r="65" x14ac:dyDescent="0.5"/>
    <row r="66" x14ac:dyDescent="0.5"/>
    <row r="67" x14ac:dyDescent="0.5"/>
    <row r="68" x14ac:dyDescent="0.5"/>
    <row r="69" x14ac:dyDescent="0.5"/>
    <row r="70" x14ac:dyDescent="0.5"/>
    <row r="71" x14ac:dyDescent="0.5"/>
    <row r="72" x14ac:dyDescent="0.5"/>
    <row r="73" x14ac:dyDescent="0.5"/>
    <row r="74" x14ac:dyDescent="0.5"/>
    <row r="75" x14ac:dyDescent="0.5"/>
    <row r="76" x14ac:dyDescent="0.5"/>
    <row r="77" x14ac:dyDescent="0.5"/>
    <row r="78" x14ac:dyDescent="0.5"/>
    <row r="79" x14ac:dyDescent="0.5"/>
    <row r="80" x14ac:dyDescent="0.5"/>
    <row r="81" x14ac:dyDescent="0.5"/>
    <row r="82" x14ac:dyDescent="0.5"/>
    <row r="83" x14ac:dyDescent="0.5"/>
    <row r="84" x14ac:dyDescent="0.5"/>
    <row r="85" x14ac:dyDescent="0.5"/>
    <row r="86" x14ac:dyDescent="0.5"/>
    <row r="87" x14ac:dyDescent="0.5"/>
    <row r="88" x14ac:dyDescent="0.5"/>
    <row r="89" x14ac:dyDescent="0.5"/>
    <row r="90" x14ac:dyDescent="0.5"/>
    <row r="91" x14ac:dyDescent="0.5"/>
    <row r="92" x14ac:dyDescent="0.5"/>
    <row r="93" x14ac:dyDescent="0.5"/>
    <row r="94" x14ac:dyDescent="0.5"/>
    <row r="95" x14ac:dyDescent="0.5"/>
    <row r="96" x14ac:dyDescent="0.5"/>
    <row r="97" x14ac:dyDescent="0.5"/>
    <row r="98" x14ac:dyDescent="0.5"/>
    <row r="99" x14ac:dyDescent="0.5"/>
    <row r="100" x14ac:dyDescent="0.5"/>
    <row r="101" x14ac:dyDescent="0.5"/>
    <row r="102" x14ac:dyDescent="0.5"/>
    <row r="103" x14ac:dyDescent="0.5"/>
  </sheetData>
  <sheetProtection formatCells="0" formatRows="0" insertRows="0" deleteRows="0"/>
  <mergeCells count="36">
    <mergeCell ref="A54:C54"/>
    <mergeCell ref="A55:H55"/>
    <mergeCell ref="A56:H56"/>
    <mergeCell ref="A57:H57"/>
    <mergeCell ref="A50:C50"/>
    <mergeCell ref="D50:E50"/>
    <mergeCell ref="F50:F51"/>
    <mergeCell ref="G50:G51"/>
    <mergeCell ref="H50:H51"/>
    <mergeCell ref="A47:B47"/>
    <mergeCell ref="C47:H47"/>
    <mergeCell ref="A49:C49"/>
    <mergeCell ref="D49:F49"/>
    <mergeCell ref="G49:H49"/>
    <mergeCell ref="A61:H62"/>
    <mergeCell ref="A6:C6"/>
    <mergeCell ref="D6:F6"/>
    <mergeCell ref="G6:H6"/>
    <mergeCell ref="A7:C7"/>
    <mergeCell ref="D7:E7"/>
    <mergeCell ref="F7:F8"/>
    <mergeCell ref="G7:G8"/>
    <mergeCell ref="H7:H8"/>
    <mergeCell ref="A40:C40"/>
    <mergeCell ref="A41:H41"/>
    <mergeCell ref="A42:H42"/>
    <mergeCell ref="A43:H43"/>
    <mergeCell ref="A60:H60"/>
    <mergeCell ref="A46:B46"/>
    <mergeCell ref="C46:H46"/>
    <mergeCell ref="A1:H1"/>
    <mergeCell ref="A2:H2"/>
    <mergeCell ref="A3:B3"/>
    <mergeCell ref="C3:H3"/>
    <mergeCell ref="A4:B4"/>
    <mergeCell ref="C4:H4"/>
  </mergeCells>
  <dataValidations count="1">
    <dataValidation type="list" allowBlank="1" showInputMessage="1" showErrorMessage="1" sqref="AN8:AN39">
      <formula1>$AN$8:$AN$9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'[5]AÇÕES ESTRATÉGICAS - DESCRIÇÃO '!#REF!</xm:f>
          </x14:formula1>
          <xm:sqref>C9:C39 C52:C53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1">
    <tabColor rgb="FFFFFF00"/>
  </sheetPr>
  <dimension ref="A1:AN368"/>
  <sheetViews>
    <sheetView showGridLines="0" topLeftCell="A96" zoomScale="90" zoomScaleNormal="90" zoomScaleSheetLayoutView="80" workbookViewId="0">
      <selection activeCell="B123" sqref="B123"/>
    </sheetView>
  </sheetViews>
  <sheetFormatPr defaultColWidth="0" defaultRowHeight="25.8" zeroHeight="1" x14ac:dyDescent="0.5"/>
  <cols>
    <col min="1" max="1" width="18.44140625" style="265" customWidth="1"/>
    <col min="2" max="2" width="79.6640625" style="265" customWidth="1"/>
    <col min="3" max="3" width="22.109375" style="265" customWidth="1"/>
    <col min="4" max="4" width="18.44140625" style="265" customWidth="1"/>
    <col min="5" max="5" width="25.109375" style="265" customWidth="1"/>
    <col min="6" max="6" width="14.33203125" style="265" customWidth="1"/>
    <col min="7" max="8" width="18.109375" style="289" hidden="1" customWidth="1"/>
    <col min="9" max="9" width="10.33203125" style="265" bestFit="1" customWidth="1"/>
    <col min="10" max="40" width="0" style="266" hidden="1" customWidth="1"/>
    <col min="41" max="16384" width="36.88671875" style="266" hidden="1"/>
  </cols>
  <sheetData>
    <row r="1" spans="1:40" x14ac:dyDescent="0.5">
      <c r="A1" s="531" t="s">
        <v>559</v>
      </c>
      <c r="B1" s="532"/>
      <c r="C1" s="532"/>
      <c r="D1" s="532"/>
      <c r="E1" s="532"/>
      <c r="F1" s="532"/>
      <c r="G1" s="532"/>
      <c r="H1" s="533"/>
    </row>
    <row r="2" spans="1:40" ht="63.75" customHeight="1" x14ac:dyDescent="0.5">
      <c r="A2" s="534" t="s">
        <v>560</v>
      </c>
      <c r="B2" s="534"/>
      <c r="C2" s="534"/>
      <c r="D2" s="534"/>
      <c r="E2" s="534"/>
      <c r="F2" s="534"/>
      <c r="G2" s="534"/>
      <c r="H2" s="535"/>
    </row>
    <row r="3" spans="1:40" x14ac:dyDescent="0.5">
      <c r="A3" s="536" t="s">
        <v>561</v>
      </c>
      <c r="B3" s="537"/>
      <c r="C3" s="557" t="str">
        <f>'Quadro Geral'!C51</f>
        <v>Fiscalização vinculada à sede</v>
      </c>
      <c r="D3" s="557"/>
      <c r="E3" s="557"/>
      <c r="F3" s="557"/>
      <c r="G3" s="557"/>
      <c r="H3" s="558"/>
      <c r="N3" s="267"/>
      <c r="O3" s="268"/>
      <c r="P3" s="268"/>
      <c r="Q3" s="268"/>
      <c r="R3" s="268"/>
      <c r="S3" s="268"/>
      <c r="T3" s="268"/>
      <c r="U3" s="268"/>
      <c r="V3" s="268"/>
      <c r="W3" s="268"/>
    </row>
    <row r="4" spans="1:40" ht="30.75" customHeight="1" x14ac:dyDescent="0.5">
      <c r="A4" s="537" t="s">
        <v>34</v>
      </c>
      <c r="B4" s="537"/>
      <c r="C4" s="557" t="str">
        <f>'Quadro Geral'!E51</f>
        <v>Tornar a fiscalização um vetor de melhoria do exercício da Arquitetura e Urbanismo</v>
      </c>
      <c r="D4" s="557"/>
      <c r="E4" s="557"/>
      <c r="F4" s="557"/>
      <c r="G4" s="557"/>
      <c r="H4" s="558"/>
      <c r="V4" s="268"/>
      <c r="W4" s="268"/>
    </row>
    <row r="5" spans="1:40" s="272" customFormat="1" ht="49.5" customHeight="1" x14ac:dyDescent="0.5">
      <c r="A5" s="269"/>
      <c r="B5" s="269"/>
      <c r="C5" s="269"/>
      <c r="D5" s="270"/>
      <c r="E5" s="270"/>
      <c r="F5" s="270"/>
      <c r="G5" s="270" t="s">
        <v>155</v>
      </c>
      <c r="H5" s="270"/>
      <c r="I5" s="271"/>
      <c r="N5" s="273"/>
      <c r="O5" s="274"/>
      <c r="P5" s="274"/>
      <c r="Q5" s="274"/>
      <c r="R5" s="274"/>
      <c r="S5" s="274"/>
      <c r="T5" s="274"/>
      <c r="U5" s="274"/>
      <c r="V5" s="274"/>
      <c r="W5" s="274"/>
    </row>
    <row r="6" spans="1:40" x14ac:dyDescent="0.5">
      <c r="A6" s="540" t="s">
        <v>562</v>
      </c>
      <c r="B6" s="541"/>
      <c r="C6" s="541"/>
      <c r="D6" s="540" t="s">
        <v>563</v>
      </c>
      <c r="E6" s="541"/>
      <c r="F6" s="542"/>
      <c r="G6" s="543" t="s">
        <v>564</v>
      </c>
      <c r="H6" s="544"/>
      <c r="M6" s="274"/>
      <c r="N6" s="274"/>
      <c r="O6" s="274"/>
      <c r="P6" s="274"/>
      <c r="Q6" s="274"/>
      <c r="R6" s="274"/>
      <c r="S6" s="274"/>
      <c r="T6" s="274"/>
      <c r="U6" s="268"/>
      <c r="V6" s="268"/>
      <c r="W6" s="268"/>
    </row>
    <row r="7" spans="1:40" x14ac:dyDescent="0.5">
      <c r="A7" s="540" t="s">
        <v>565</v>
      </c>
      <c r="B7" s="541"/>
      <c r="C7" s="542"/>
      <c r="D7" s="540" t="s">
        <v>566</v>
      </c>
      <c r="E7" s="542"/>
      <c r="F7" s="545" t="s">
        <v>567</v>
      </c>
      <c r="G7" s="546" t="s">
        <v>568</v>
      </c>
      <c r="H7" s="546" t="s">
        <v>569</v>
      </c>
      <c r="M7" s="274"/>
      <c r="N7" s="274"/>
      <c r="O7" s="274"/>
      <c r="P7" s="274"/>
      <c r="Q7" s="274"/>
      <c r="R7" s="274"/>
      <c r="S7" s="274"/>
      <c r="T7" s="274"/>
      <c r="U7" s="268"/>
      <c r="V7" s="268"/>
      <c r="W7" s="268"/>
    </row>
    <row r="8" spans="1:40" ht="63" customHeight="1" x14ac:dyDescent="0.5">
      <c r="A8" s="275" t="s">
        <v>570</v>
      </c>
      <c r="B8" s="275" t="s">
        <v>571</v>
      </c>
      <c r="C8" s="276" t="s">
        <v>572</v>
      </c>
      <c r="D8" s="275" t="s">
        <v>573</v>
      </c>
      <c r="E8" s="275" t="s">
        <v>574</v>
      </c>
      <c r="F8" s="545"/>
      <c r="G8" s="547"/>
      <c r="H8" s="547"/>
      <c r="M8" s="274"/>
      <c r="N8" s="274"/>
      <c r="O8" s="274"/>
      <c r="P8" s="274"/>
      <c r="Q8" s="274"/>
      <c r="R8" s="274"/>
      <c r="S8" s="274"/>
      <c r="T8" s="274"/>
      <c r="U8" s="268"/>
      <c r="V8" s="268"/>
      <c r="W8" s="268"/>
      <c r="AN8" s="266" t="s">
        <v>72</v>
      </c>
    </row>
    <row r="9" spans="1:40" ht="32.25" customHeight="1" x14ac:dyDescent="0.5">
      <c r="A9" s="12"/>
      <c r="B9" s="293" t="s">
        <v>594</v>
      </c>
      <c r="C9" s="12"/>
      <c r="D9" s="13">
        <v>3333.2896999999998</v>
      </c>
      <c r="E9" s="13">
        <v>8500</v>
      </c>
      <c r="F9" s="277">
        <f t="shared" ref="F9:F23" si="0">IFERROR(E9/D9*100-100,)</f>
        <v>155.00333799369437</v>
      </c>
      <c r="G9" s="13"/>
      <c r="H9" s="278">
        <f t="shared" ref="H9:H23" si="1">IFERROR(G9/E9*100,)</f>
        <v>0</v>
      </c>
      <c r="M9" s="274"/>
      <c r="N9" s="267"/>
      <c r="O9" s="268"/>
      <c r="P9" s="268"/>
      <c r="Q9" s="268"/>
      <c r="R9" s="268"/>
      <c r="S9" s="268"/>
      <c r="T9" s="268"/>
      <c r="U9" s="268"/>
      <c r="V9" s="268"/>
      <c r="W9" s="268"/>
      <c r="AN9" s="266" t="s">
        <v>575</v>
      </c>
    </row>
    <row r="10" spans="1:40" ht="32.25" customHeight="1" x14ac:dyDescent="0.5">
      <c r="A10" s="12"/>
      <c r="B10" s="12" t="s">
        <v>595</v>
      </c>
      <c r="C10" s="12"/>
      <c r="D10" s="13">
        <v>2488.3026999999997</v>
      </c>
      <c r="E10" s="13">
        <v>36399.800000000003</v>
      </c>
      <c r="F10" s="277">
        <f t="shared" si="0"/>
        <v>1362.8364949328716</v>
      </c>
      <c r="G10" s="13"/>
      <c r="H10" s="278">
        <f t="shared" si="1"/>
        <v>0</v>
      </c>
      <c r="N10" s="267"/>
      <c r="O10" s="268"/>
      <c r="P10" s="268"/>
      <c r="Q10" s="268"/>
      <c r="R10" s="268"/>
      <c r="S10" s="268"/>
      <c r="T10" s="268"/>
      <c r="U10" s="268"/>
      <c r="V10" s="268"/>
      <c r="W10" s="268"/>
      <c r="AN10" s="266" t="s">
        <v>576</v>
      </c>
    </row>
    <row r="11" spans="1:40" ht="32.25" customHeight="1" x14ac:dyDescent="0.5">
      <c r="A11" s="12"/>
      <c r="B11" s="257" t="s">
        <v>596</v>
      </c>
      <c r="C11" s="12"/>
      <c r="D11" s="13">
        <v>4709.7713000000003</v>
      </c>
      <c r="E11" s="13">
        <v>3600</v>
      </c>
      <c r="F11" s="277">
        <f t="shared" si="0"/>
        <v>-23.563167493929058</v>
      </c>
      <c r="G11" s="13"/>
      <c r="H11" s="278">
        <f t="shared" si="1"/>
        <v>0</v>
      </c>
      <c r="N11" s="267"/>
      <c r="O11" s="268"/>
      <c r="P11" s="268"/>
      <c r="Q11" s="268"/>
      <c r="R11" s="268"/>
      <c r="S11" s="268"/>
      <c r="T11" s="268"/>
      <c r="U11" s="268"/>
      <c r="V11" s="268"/>
      <c r="W11" s="268"/>
    </row>
    <row r="12" spans="1:40" ht="32.25" customHeight="1" x14ac:dyDescent="0.5">
      <c r="A12" s="12"/>
      <c r="B12" s="257" t="s">
        <v>597</v>
      </c>
      <c r="C12" s="12"/>
      <c r="D12" s="13">
        <v>19505.59</v>
      </c>
      <c r="E12" s="13">
        <v>23845.5</v>
      </c>
      <c r="F12" s="277">
        <f t="shared" si="0"/>
        <v>22.249570507736507</v>
      </c>
      <c r="G12" s="13"/>
      <c r="H12" s="278"/>
      <c r="N12" s="267"/>
      <c r="O12" s="268"/>
      <c r="P12" s="268"/>
      <c r="Q12" s="268"/>
      <c r="R12" s="268"/>
      <c r="S12" s="268"/>
      <c r="T12" s="268"/>
      <c r="U12" s="268"/>
      <c r="V12" s="268"/>
      <c r="W12" s="268"/>
    </row>
    <row r="13" spans="1:40" ht="32.25" customHeight="1" x14ac:dyDescent="0.5">
      <c r="A13" s="12"/>
      <c r="B13" s="257" t="s">
        <v>598</v>
      </c>
      <c r="C13" s="12"/>
      <c r="D13" s="13">
        <v>0</v>
      </c>
      <c r="E13" s="13">
        <v>680000</v>
      </c>
      <c r="F13" s="277">
        <f t="shared" si="0"/>
        <v>0</v>
      </c>
      <c r="G13" s="13"/>
      <c r="H13" s="278"/>
      <c r="N13" s="267"/>
      <c r="O13" s="268"/>
      <c r="P13" s="268"/>
      <c r="Q13" s="268"/>
      <c r="R13" s="268"/>
      <c r="S13" s="268"/>
      <c r="T13" s="268"/>
      <c r="U13" s="268"/>
      <c r="V13" s="268"/>
      <c r="W13" s="268"/>
    </row>
    <row r="14" spans="1:40" ht="32.25" customHeight="1" x14ac:dyDescent="0.5">
      <c r="A14" s="12"/>
      <c r="B14" s="257" t="s">
        <v>599</v>
      </c>
      <c r="C14" s="12"/>
      <c r="D14" s="13">
        <v>7410</v>
      </c>
      <c r="E14" s="13">
        <v>7200</v>
      </c>
      <c r="F14" s="277">
        <f t="shared" si="0"/>
        <v>-2.8340080971659916</v>
      </c>
      <c r="G14" s="13"/>
      <c r="H14" s="278"/>
      <c r="N14" s="267"/>
      <c r="O14" s="268"/>
      <c r="P14" s="268"/>
      <c r="Q14" s="268"/>
      <c r="R14" s="268"/>
      <c r="S14" s="268"/>
      <c r="T14" s="268"/>
      <c r="U14" s="268"/>
      <c r="V14" s="268"/>
      <c r="W14" s="268"/>
    </row>
    <row r="15" spans="1:40" ht="32.25" customHeight="1" x14ac:dyDescent="0.5">
      <c r="A15" s="12"/>
      <c r="B15" s="257" t="s">
        <v>600</v>
      </c>
      <c r="C15" s="12"/>
      <c r="D15" s="13">
        <v>23050</v>
      </c>
      <c r="E15" s="13">
        <v>11250</v>
      </c>
      <c r="F15" s="277">
        <f t="shared" si="0"/>
        <v>-51.193058568329718</v>
      </c>
      <c r="G15" s="13"/>
      <c r="H15" s="278"/>
      <c r="N15" s="267"/>
      <c r="O15" s="268"/>
      <c r="P15" s="268"/>
      <c r="Q15" s="268"/>
      <c r="R15" s="268"/>
      <c r="S15" s="268"/>
      <c r="T15" s="268"/>
      <c r="U15" s="268"/>
      <c r="V15" s="268"/>
      <c r="W15" s="268"/>
    </row>
    <row r="16" spans="1:40" ht="32.25" customHeight="1" x14ac:dyDescent="0.5">
      <c r="A16" s="12"/>
      <c r="B16" s="257" t="s">
        <v>601</v>
      </c>
      <c r="C16" s="12"/>
      <c r="D16" s="13">
        <v>231.2167</v>
      </c>
      <c r="E16" s="13">
        <v>2400</v>
      </c>
      <c r="F16" s="277">
        <f t="shared" si="0"/>
        <v>937.98730801019133</v>
      </c>
      <c r="G16" s="13"/>
      <c r="H16" s="278"/>
      <c r="N16" s="267"/>
      <c r="O16" s="268"/>
      <c r="P16" s="268"/>
      <c r="Q16" s="268"/>
      <c r="R16" s="268"/>
      <c r="S16" s="268"/>
      <c r="T16" s="268"/>
      <c r="U16" s="268"/>
      <c r="V16" s="268"/>
      <c r="W16" s="268"/>
    </row>
    <row r="17" spans="1:23" ht="32.25" customHeight="1" x14ac:dyDescent="0.5">
      <c r="A17" s="12"/>
      <c r="B17" s="257" t="s">
        <v>602</v>
      </c>
      <c r="C17" s="12"/>
      <c r="D17" s="13">
        <v>1922.4009999999998</v>
      </c>
      <c r="E17" s="13">
        <v>3220</v>
      </c>
      <c r="F17" s="277">
        <f t="shared" si="0"/>
        <v>67.498872503707616</v>
      </c>
      <c r="G17" s="13"/>
      <c r="H17" s="278">
        <f t="shared" si="1"/>
        <v>0</v>
      </c>
      <c r="N17" s="267"/>
      <c r="O17" s="268"/>
      <c r="P17" s="268"/>
      <c r="Q17" s="268"/>
      <c r="R17" s="268"/>
      <c r="S17" s="268"/>
      <c r="T17" s="268"/>
      <c r="U17" s="268"/>
      <c r="V17" s="268"/>
      <c r="W17" s="268"/>
    </row>
    <row r="18" spans="1:23" ht="32.25" customHeight="1" x14ac:dyDescent="0.5">
      <c r="A18" s="12"/>
      <c r="B18" s="257" t="s">
        <v>603</v>
      </c>
      <c r="C18" s="12"/>
      <c r="D18" s="13">
        <v>42330.118999999999</v>
      </c>
      <c r="E18" s="13">
        <v>18280</v>
      </c>
      <c r="F18" s="277">
        <f t="shared" si="0"/>
        <v>-56.815618685125827</v>
      </c>
      <c r="G18" s="13"/>
      <c r="H18" s="278">
        <f t="shared" si="1"/>
        <v>0</v>
      </c>
      <c r="N18" s="268"/>
      <c r="O18" s="268"/>
      <c r="P18" s="268"/>
      <c r="Q18" s="268"/>
      <c r="R18" s="268"/>
      <c r="S18" s="268"/>
      <c r="T18" s="268"/>
      <c r="U18" s="268"/>
      <c r="V18" s="268"/>
      <c r="W18" s="268"/>
    </row>
    <row r="19" spans="1:23" ht="32.25" customHeight="1" x14ac:dyDescent="0.5">
      <c r="A19" s="12"/>
      <c r="B19" s="257" t="s">
        <v>590</v>
      </c>
      <c r="C19" s="12"/>
      <c r="D19" s="13">
        <v>28697.16</v>
      </c>
      <c r="E19" s="13">
        <f>45240</f>
        <v>45240</v>
      </c>
      <c r="F19" s="277">
        <f t="shared" si="0"/>
        <v>57.646261860058644</v>
      </c>
      <c r="G19" s="13"/>
      <c r="H19" s="278">
        <f t="shared" si="1"/>
        <v>0</v>
      </c>
      <c r="N19" s="268"/>
      <c r="O19" s="268"/>
      <c r="P19" s="268"/>
      <c r="Q19" s="268"/>
      <c r="R19" s="268"/>
      <c r="S19" s="268"/>
      <c r="T19" s="268"/>
      <c r="U19" s="268"/>
      <c r="V19" s="268"/>
      <c r="W19" s="268"/>
    </row>
    <row r="20" spans="1:23" ht="32.25" customHeight="1" x14ac:dyDescent="0.5">
      <c r="A20" s="12"/>
      <c r="B20" s="257" t="s">
        <v>588</v>
      </c>
      <c r="C20" s="12"/>
      <c r="D20" s="13">
        <v>1569394.38</v>
      </c>
      <c r="E20" s="320">
        <v>2111325.7200000002</v>
      </c>
      <c r="F20" s="277">
        <f t="shared" si="0"/>
        <v>34.531240006097164</v>
      </c>
      <c r="G20" s="13"/>
      <c r="H20" s="278">
        <f t="shared" si="1"/>
        <v>0</v>
      </c>
      <c r="N20" s="279"/>
    </row>
    <row r="21" spans="1:23" ht="32.25" customHeight="1" x14ac:dyDescent="0.5">
      <c r="A21" s="12"/>
      <c r="B21" s="257" t="s">
        <v>589</v>
      </c>
      <c r="C21" s="12"/>
      <c r="D21" s="13">
        <v>220834.06</v>
      </c>
      <c r="E21" s="320">
        <v>289691.76</v>
      </c>
      <c r="F21" s="277">
        <f t="shared" si="0"/>
        <v>31.180742680725984</v>
      </c>
      <c r="G21" s="13"/>
      <c r="H21" s="278">
        <f t="shared" si="1"/>
        <v>0</v>
      </c>
    </row>
    <row r="22" spans="1:23" ht="32.25" customHeight="1" x14ac:dyDescent="0.5">
      <c r="A22" s="12"/>
      <c r="B22" s="12" t="s">
        <v>604</v>
      </c>
      <c r="C22" s="12"/>
      <c r="D22" s="13">
        <v>0</v>
      </c>
      <c r="E22" s="13">
        <v>38500</v>
      </c>
      <c r="F22" s="277">
        <f t="shared" si="0"/>
        <v>0</v>
      </c>
      <c r="G22" s="13"/>
      <c r="H22" s="278">
        <f t="shared" si="1"/>
        <v>0</v>
      </c>
    </row>
    <row r="23" spans="1:23" s="284" customFormat="1" x14ac:dyDescent="0.3">
      <c r="A23" s="552" t="s">
        <v>0</v>
      </c>
      <c r="B23" s="552"/>
      <c r="C23" s="552"/>
      <c r="D23" s="280">
        <f>SUM(D9:D22)</f>
        <v>1923906.2903999998</v>
      </c>
      <c r="E23" s="280">
        <f>SUM(E9:E22)</f>
        <v>3279452.7800000003</v>
      </c>
      <c r="F23" s="281">
        <f t="shared" si="0"/>
        <v>70.458030953169157</v>
      </c>
      <c r="G23" s="280">
        <f>SUM(G9:G22)</f>
        <v>0</v>
      </c>
      <c r="H23" s="282">
        <f t="shared" si="1"/>
        <v>0</v>
      </c>
      <c r="I23" s="283"/>
    </row>
    <row r="24" spans="1:23" x14ac:dyDescent="0.5">
      <c r="A24" s="553"/>
      <c r="B24" s="553"/>
      <c r="C24" s="553"/>
      <c r="D24" s="553"/>
      <c r="E24" s="553"/>
      <c r="F24" s="553"/>
      <c r="G24" s="553"/>
      <c r="H24" s="553"/>
    </row>
    <row r="25" spans="1:23" x14ac:dyDescent="0.5">
      <c r="A25" s="554" t="s">
        <v>227</v>
      </c>
      <c r="B25" s="555"/>
      <c r="C25" s="555"/>
      <c r="D25" s="555"/>
      <c r="E25" s="555"/>
      <c r="F25" s="555"/>
      <c r="G25" s="555"/>
      <c r="H25" s="556"/>
      <c r="J25" s="285"/>
    </row>
    <row r="26" spans="1:23" x14ac:dyDescent="0.5">
      <c r="A26" s="549"/>
      <c r="B26" s="550"/>
      <c r="C26" s="550"/>
      <c r="D26" s="550"/>
      <c r="E26" s="550"/>
      <c r="F26" s="550"/>
      <c r="G26" s="550"/>
      <c r="H26" s="551"/>
    </row>
    <row r="27" spans="1:23" x14ac:dyDescent="0.5">
      <c r="A27" s="308"/>
      <c r="B27" s="308"/>
      <c r="C27" s="308"/>
      <c r="D27" s="308"/>
      <c r="E27" s="308"/>
      <c r="F27" s="308"/>
      <c r="G27" s="308"/>
      <c r="H27" s="308"/>
    </row>
    <row r="28" spans="1:23" x14ac:dyDescent="0.5">
      <c r="A28" s="536" t="s">
        <v>561</v>
      </c>
      <c r="B28" s="537"/>
      <c r="C28" s="557" t="str">
        <f>'Quadro Geral'!C52</f>
        <v>Escritório regional de Santa Maria</v>
      </c>
      <c r="D28" s="557"/>
      <c r="E28" s="557"/>
      <c r="F28" s="557"/>
      <c r="G28" s="557"/>
      <c r="H28" s="558"/>
    </row>
    <row r="29" spans="1:23" x14ac:dyDescent="0.5">
      <c r="A29" s="537" t="s">
        <v>34</v>
      </c>
      <c r="B29" s="537"/>
      <c r="C29" s="557" t="str">
        <f>'Quadro Geral'!E52</f>
        <v>Tornar a fiscalização um vetor de melhoria do exercício da Arquitetura e Urbanismo</v>
      </c>
      <c r="D29" s="557"/>
      <c r="E29" s="557"/>
      <c r="F29" s="557"/>
      <c r="G29" s="557"/>
      <c r="H29" s="558"/>
    </row>
    <row r="30" spans="1:23" x14ac:dyDescent="0.5">
      <c r="A30" s="269"/>
      <c r="B30" s="269"/>
      <c r="C30" s="269"/>
      <c r="D30" s="270"/>
      <c r="E30" s="270"/>
      <c r="F30" s="270"/>
      <c r="G30" s="270" t="s">
        <v>155</v>
      </c>
      <c r="H30" s="270"/>
    </row>
    <row r="31" spans="1:23" x14ac:dyDescent="0.5">
      <c r="A31" s="540" t="s">
        <v>562</v>
      </c>
      <c r="B31" s="541"/>
      <c r="C31" s="541"/>
      <c r="D31" s="540" t="s">
        <v>563</v>
      </c>
      <c r="E31" s="541"/>
      <c r="F31" s="542"/>
      <c r="G31" s="543" t="s">
        <v>564</v>
      </c>
      <c r="H31" s="544"/>
    </row>
    <row r="32" spans="1:23" x14ac:dyDescent="0.5">
      <c r="A32" s="540" t="s">
        <v>565</v>
      </c>
      <c r="B32" s="541"/>
      <c r="C32" s="542"/>
      <c r="D32" s="540" t="s">
        <v>566</v>
      </c>
      <c r="E32" s="542"/>
      <c r="F32" s="545" t="s">
        <v>567</v>
      </c>
      <c r="G32" s="546" t="s">
        <v>568</v>
      </c>
      <c r="H32" s="546" t="s">
        <v>569</v>
      </c>
    </row>
    <row r="33" spans="1:9" ht="46.8" x14ac:dyDescent="0.5">
      <c r="A33" s="275" t="s">
        <v>570</v>
      </c>
      <c r="B33" s="275" t="s">
        <v>571</v>
      </c>
      <c r="C33" s="276" t="s">
        <v>572</v>
      </c>
      <c r="D33" s="275" t="s">
        <v>573</v>
      </c>
      <c r="E33" s="275" t="s">
        <v>574</v>
      </c>
      <c r="F33" s="545"/>
      <c r="G33" s="547"/>
      <c r="H33" s="547"/>
    </row>
    <row r="34" spans="1:9" ht="31.2" x14ac:dyDescent="0.5">
      <c r="A34" s="12"/>
      <c r="B34" s="257" t="s">
        <v>605</v>
      </c>
      <c r="C34" s="12"/>
      <c r="D34" s="13">
        <v>2496.9230000000002</v>
      </c>
      <c r="E34" s="13">
        <v>6000</v>
      </c>
      <c r="F34" s="277">
        <f t="shared" ref="F34:F50" si="2">IFERROR(E34/D34*100-100,)</f>
        <v>140.29575601650509</v>
      </c>
      <c r="G34" s="13"/>
      <c r="H34" s="278">
        <f t="shared" ref="H34:H50" si="3">IFERROR(G34/E34*100,)</f>
        <v>0</v>
      </c>
    </row>
    <row r="35" spans="1:9" ht="31.2" x14ac:dyDescent="0.5">
      <c r="A35" s="12"/>
      <c r="B35" s="257" t="s">
        <v>606</v>
      </c>
      <c r="C35" s="12"/>
      <c r="D35" s="13">
        <v>1787.2919999999999</v>
      </c>
      <c r="E35" s="13">
        <v>23209</v>
      </c>
      <c r="F35" s="277">
        <f t="shared" si="2"/>
        <v>1198.556699185136</v>
      </c>
      <c r="G35" s="13"/>
      <c r="H35" s="278"/>
    </row>
    <row r="36" spans="1:9" ht="31.2" x14ac:dyDescent="0.5">
      <c r="A36" s="12"/>
      <c r="B36" s="257" t="s">
        <v>596</v>
      </c>
      <c r="C36" s="12"/>
      <c r="D36" s="13">
        <v>2616.5203999999994</v>
      </c>
      <c r="E36" s="13">
        <v>7200</v>
      </c>
      <c r="F36" s="277">
        <f t="shared" si="2"/>
        <v>175.17461740409141</v>
      </c>
      <c r="G36" s="13"/>
      <c r="H36" s="278"/>
    </row>
    <row r="37" spans="1:9" x14ac:dyDescent="0.5">
      <c r="A37" s="12"/>
      <c r="B37" s="257" t="s">
        <v>599</v>
      </c>
      <c r="C37" s="12"/>
      <c r="D37" s="13">
        <v>3467.2130999999999</v>
      </c>
      <c r="E37" s="13">
        <v>3840</v>
      </c>
      <c r="F37" s="277">
        <f t="shared" si="2"/>
        <v>10.751773520929532</v>
      </c>
      <c r="G37" s="13"/>
      <c r="H37" s="278"/>
    </row>
    <row r="38" spans="1:9" x14ac:dyDescent="0.5">
      <c r="A38" s="12"/>
      <c r="B38" s="257" t="s">
        <v>607</v>
      </c>
      <c r="C38" s="12"/>
      <c r="D38" s="13">
        <v>4316.5966999999991</v>
      </c>
      <c r="E38" s="13">
        <v>5400</v>
      </c>
      <c r="F38" s="277">
        <f t="shared" si="2"/>
        <v>25.09855275569295</v>
      </c>
      <c r="G38" s="13"/>
      <c r="H38" s="278"/>
    </row>
    <row r="39" spans="1:9" ht="46.8" x14ac:dyDescent="0.5">
      <c r="A39" s="12"/>
      <c r="B39" s="257" t="s">
        <v>608</v>
      </c>
      <c r="C39" s="12"/>
      <c r="D39" s="13">
        <v>3211.3458000000001</v>
      </c>
      <c r="E39" s="13">
        <v>2100</v>
      </c>
      <c r="F39" s="277">
        <f t="shared" si="2"/>
        <v>-34.606855480963773</v>
      </c>
      <c r="G39" s="13"/>
      <c r="H39" s="278"/>
    </row>
    <row r="40" spans="1:9" x14ac:dyDescent="0.5">
      <c r="A40" s="12"/>
      <c r="B40" s="257" t="s">
        <v>609</v>
      </c>
      <c r="C40" s="12"/>
      <c r="D40" s="13">
        <v>5025.5361000000003</v>
      </c>
      <c r="E40" s="13">
        <v>10800</v>
      </c>
      <c r="F40" s="277">
        <f t="shared" si="2"/>
        <v>114.90244593009686</v>
      </c>
      <c r="G40" s="13"/>
      <c r="H40" s="278"/>
    </row>
    <row r="41" spans="1:9" x14ac:dyDescent="0.5">
      <c r="A41" s="12"/>
      <c r="B41" s="257" t="s">
        <v>610</v>
      </c>
      <c r="C41" s="12"/>
      <c r="D41" s="13">
        <v>500</v>
      </c>
      <c r="E41" s="13">
        <v>600</v>
      </c>
      <c r="F41" s="277">
        <f t="shared" si="2"/>
        <v>20</v>
      </c>
      <c r="G41" s="13"/>
      <c r="H41" s="278"/>
    </row>
    <row r="42" spans="1:9" x14ac:dyDescent="0.5">
      <c r="A42" s="12"/>
      <c r="B42" s="257" t="s">
        <v>611</v>
      </c>
      <c r="C42" s="12"/>
      <c r="D42" s="13">
        <v>5000</v>
      </c>
      <c r="E42" s="13">
        <v>0</v>
      </c>
      <c r="F42" s="277">
        <f t="shared" si="2"/>
        <v>-100</v>
      </c>
      <c r="G42" s="13"/>
      <c r="H42" s="278">
        <f t="shared" si="3"/>
        <v>0</v>
      </c>
    </row>
    <row r="43" spans="1:9" s="347" customFormat="1" x14ac:dyDescent="0.5">
      <c r="A43" s="319"/>
      <c r="B43" s="297" t="s">
        <v>738</v>
      </c>
      <c r="C43" s="319"/>
      <c r="D43" s="13">
        <v>0</v>
      </c>
      <c r="E43" s="13">
        <v>5421.72</v>
      </c>
      <c r="F43" s="277">
        <f t="shared" si="2"/>
        <v>0</v>
      </c>
      <c r="G43" s="13"/>
      <c r="H43" s="278"/>
      <c r="I43" s="265"/>
    </row>
    <row r="44" spans="1:9" x14ac:dyDescent="0.5">
      <c r="A44" s="12"/>
      <c r="B44" s="257" t="s">
        <v>612</v>
      </c>
      <c r="C44" s="12"/>
      <c r="D44" s="13">
        <v>15000</v>
      </c>
      <c r="E44" s="13">
        <v>15000</v>
      </c>
      <c r="F44" s="277">
        <f t="shared" si="2"/>
        <v>0</v>
      </c>
      <c r="G44" s="13"/>
      <c r="H44" s="278">
        <f t="shared" si="3"/>
        <v>0</v>
      </c>
    </row>
    <row r="45" spans="1:9" x14ac:dyDescent="0.5">
      <c r="A45" s="12"/>
      <c r="B45" s="257" t="s">
        <v>613</v>
      </c>
      <c r="C45" s="12"/>
      <c r="D45" s="13">
        <v>2500</v>
      </c>
      <c r="E45" s="13">
        <v>2500</v>
      </c>
      <c r="F45" s="277">
        <f t="shared" si="2"/>
        <v>0</v>
      </c>
      <c r="G45" s="13"/>
      <c r="H45" s="278">
        <f t="shared" si="3"/>
        <v>0</v>
      </c>
    </row>
    <row r="46" spans="1:9" x14ac:dyDescent="0.5">
      <c r="A46" s="12"/>
      <c r="B46" s="257" t="s">
        <v>588</v>
      </c>
      <c r="C46" s="12"/>
      <c r="D46" s="13">
        <v>243634.19</v>
      </c>
      <c r="E46" s="320">
        <v>279089.76</v>
      </c>
      <c r="F46" s="277">
        <f t="shared" si="2"/>
        <v>14.552789163130186</v>
      </c>
      <c r="G46" s="13"/>
      <c r="H46" s="278">
        <f t="shared" si="3"/>
        <v>0</v>
      </c>
    </row>
    <row r="47" spans="1:9" x14ac:dyDescent="0.5">
      <c r="A47" s="12"/>
      <c r="B47" s="257" t="s">
        <v>614</v>
      </c>
      <c r="C47" s="12"/>
      <c r="D47" s="13">
        <v>38098.5</v>
      </c>
      <c r="E47" s="320">
        <v>41085.839999999997</v>
      </c>
      <c r="F47" s="277">
        <f t="shared" si="2"/>
        <v>7.8410961061458977</v>
      </c>
      <c r="G47" s="13"/>
      <c r="H47" s="278">
        <f t="shared" si="3"/>
        <v>0</v>
      </c>
    </row>
    <row r="48" spans="1:9" s="347" customFormat="1" x14ac:dyDescent="0.5">
      <c r="A48" s="319"/>
      <c r="B48" s="371" t="s">
        <v>590</v>
      </c>
      <c r="C48" s="319"/>
      <c r="D48" s="13">
        <v>0</v>
      </c>
      <c r="E48" s="320">
        <f>22620/2</f>
        <v>11310</v>
      </c>
      <c r="F48" s="277"/>
      <c r="G48" s="13"/>
      <c r="H48" s="278"/>
      <c r="I48" s="265"/>
    </row>
    <row r="49" spans="1:8" x14ac:dyDescent="0.5">
      <c r="A49" s="12"/>
      <c r="B49" s="257" t="s">
        <v>615</v>
      </c>
      <c r="C49" s="12"/>
      <c r="D49" s="13">
        <v>33788.760199999997</v>
      </c>
      <c r="E49" s="13">
        <v>40920</v>
      </c>
      <c r="F49" s="277">
        <f t="shared" si="2"/>
        <v>21.105360947810098</v>
      </c>
      <c r="G49" s="13"/>
      <c r="H49" s="278">
        <f t="shared" si="3"/>
        <v>0</v>
      </c>
    </row>
    <row r="50" spans="1:8" x14ac:dyDescent="0.5">
      <c r="A50" s="552" t="s">
        <v>0</v>
      </c>
      <c r="B50" s="552"/>
      <c r="C50" s="552"/>
      <c r="D50" s="280">
        <f>SUM(D34:D49)</f>
        <v>361442.87730000005</v>
      </c>
      <c r="E50" s="280">
        <f>SUM(E34:E49)</f>
        <v>454476.31999999995</v>
      </c>
      <c r="F50" s="281">
        <f t="shared" si="2"/>
        <v>25.739459411945063</v>
      </c>
      <c r="G50" s="280">
        <f>SUM(G34:G49)</f>
        <v>0</v>
      </c>
      <c r="H50" s="282">
        <f t="shared" si="3"/>
        <v>0</v>
      </c>
    </row>
    <row r="51" spans="1:8" x14ac:dyDescent="0.5">
      <c r="A51" s="553"/>
      <c r="B51" s="553"/>
      <c r="C51" s="553"/>
      <c r="D51" s="553"/>
      <c r="E51" s="553"/>
      <c r="F51" s="553"/>
      <c r="G51" s="553"/>
      <c r="H51" s="553"/>
    </row>
    <row r="52" spans="1:8" x14ac:dyDescent="0.5">
      <c r="A52" s="554" t="s">
        <v>227</v>
      </c>
      <c r="B52" s="555"/>
      <c r="C52" s="555"/>
      <c r="D52" s="555"/>
      <c r="E52" s="555"/>
      <c r="F52" s="555"/>
      <c r="G52" s="555"/>
      <c r="H52" s="556"/>
    </row>
    <row r="53" spans="1:8" x14ac:dyDescent="0.5">
      <c r="A53" s="549"/>
      <c r="B53" s="550"/>
      <c r="C53" s="550"/>
      <c r="D53" s="550"/>
      <c r="E53" s="550"/>
      <c r="F53" s="550"/>
      <c r="G53" s="550"/>
      <c r="H53" s="551"/>
    </row>
    <row r="54" spans="1:8" x14ac:dyDescent="0.5">
      <c r="A54" s="286"/>
      <c r="B54" s="286"/>
      <c r="C54" s="286"/>
      <c r="D54" s="286"/>
      <c r="E54" s="286"/>
      <c r="F54" s="286"/>
      <c r="G54" s="286"/>
      <c r="H54" s="286"/>
    </row>
    <row r="55" spans="1:8" x14ac:dyDescent="0.5">
      <c r="A55" s="286"/>
      <c r="B55" s="286"/>
      <c r="C55" s="286"/>
      <c r="D55" s="286"/>
      <c r="E55" s="286"/>
      <c r="F55" s="286"/>
      <c r="G55" s="286"/>
      <c r="H55" s="286"/>
    </row>
    <row r="56" spans="1:8" x14ac:dyDescent="0.5">
      <c r="A56" s="536" t="s">
        <v>561</v>
      </c>
      <c r="B56" s="537"/>
      <c r="C56" s="557" t="str">
        <f>'Quadro Geral'!C53</f>
        <v>Escritório regional de Pelotas</v>
      </c>
      <c r="D56" s="557"/>
      <c r="E56" s="557"/>
      <c r="F56" s="557"/>
      <c r="G56" s="557"/>
      <c r="H56" s="558"/>
    </row>
    <row r="57" spans="1:8" ht="28.8" customHeight="1" x14ac:dyDescent="0.5">
      <c r="A57" s="537" t="s">
        <v>34</v>
      </c>
      <c r="B57" s="537"/>
      <c r="C57" s="557" t="str">
        <f>'Quadro Geral'!E54</f>
        <v>Tornar a fiscalização um vetor de melhoria do exercício da Arquitetura e Urbanismo</v>
      </c>
      <c r="D57" s="557"/>
      <c r="E57" s="557"/>
      <c r="F57" s="557"/>
      <c r="G57" s="557"/>
      <c r="H57" s="558"/>
    </row>
    <row r="58" spans="1:8" x14ac:dyDescent="0.5">
      <c r="A58" s="269"/>
      <c r="B58" s="269"/>
      <c r="C58" s="269"/>
      <c r="D58" s="270"/>
      <c r="E58" s="270"/>
      <c r="F58" s="270"/>
      <c r="G58" s="270" t="s">
        <v>155</v>
      </c>
      <c r="H58" s="270"/>
    </row>
    <row r="59" spans="1:8" x14ac:dyDescent="0.5">
      <c r="A59" s="540" t="s">
        <v>562</v>
      </c>
      <c r="B59" s="541"/>
      <c r="C59" s="541"/>
      <c r="D59" s="540" t="s">
        <v>563</v>
      </c>
      <c r="E59" s="541"/>
      <c r="F59" s="542"/>
      <c r="G59" s="543" t="s">
        <v>564</v>
      </c>
      <c r="H59" s="544"/>
    </row>
    <row r="60" spans="1:8" x14ac:dyDescent="0.5">
      <c r="A60" s="540" t="s">
        <v>565</v>
      </c>
      <c r="B60" s="541"/>
      <c r="C60" s="542"/>
      <c r="D60" s="540" t="s">
        <v>566</v>
      </c>
      <c r="E60" s="542"/>
      <c r="F60" s="545" t="s">
        <v>567</v>
      </c>
      <c r="G60" s="546" t="s">
        <v>568</v>
      </c>
      <c r="H60" s="546" t="s">
        <v>569</v>
      </c>
    </row>
    <row r="61" spans="1:8" ht="46.8" x14ac:dyDescent="0.5">
      <c r="A61" s="275" t="s">
        <v>570</v>
      </c>
      <c r="B61" s="275" t="s">
        <v>571</v>
      </c>
      <c r="C61" s="276" t="s">
        <v>572</v>
      </c>
      <c r="D61" s="275" t="s">
        <v>573</v>
      </c>
      <c r="E61" s="275" t="s">
        <v>574</v>
      </c>
      <c r="F61" s="545"/>
      <c r="G61" s="547"/>
      <c r="H61" s="547"/>
    </row>
    <row r="62" spans="1:8" ht="31.2" x14ac:dyDescent="0.5">
      <c r="A62" s="12"/>
      <c r="B62" s="257" t="s">
        <v>605</v>
      </c>
      <c r="C62" s="12"/>
      <c r="D62" s="13">
        <v>2496.9230000000002</v>
      </c>
      <c r="E62" s="13">
        <v>4000</v>
      </c>
      <c r="F62" s="277">
        <f t="shared" ref="F62:F78" si="4">IFERROR(E62/D62*100-100,)</f>
        <v>60.197170677670044</v>
      </c>
      <c r="G62" s="13"/>
      <c r="H62" s="278">
        <f t="shared" ref="H62:H78" si="5">IFERROR(G62/E62*100,)</f>
        <v>0</v>
      </c>
    </row>
    <row r="63" spans="1:8" ht="31.2" x14ac:dyDescent="0.5">
      <c r="A63" s="12"/>
      <c r="B63" s="257" t="s">
        <v>606</v>
      </c>
      <c r="C63" s="12"/>
      <c r="D63" s="13">
        <v>2978.8199999999997</v>
      </c>
      <c r="E63" s="13">
        <v>11567.2</v>
      </c>
      <c r="F63" s="277">
        <f t="shared" si="4"/>
        <v>288.31483607603019</v>
      </c>
      <c r="G63" s="13"/>
      <c r="H63" s="278">
        <f t="shared" si="5"/>
        <v>0</v>
      </c>
    </row>
    <row r="64" spans="1:8" x14ac:dyDescent="0.5">
      <c r="A64" s="12"/>
      <c r="B64" s="257" t="s">
        <v>616</v>
      </c>
      <c r="C64" s="12"/>
      <c r="D64" s="13">
        <v>2470</v>
      </c>
      <c r="E64" s="13">
        <v>5400</v>
      </c>
      <c r="F64" s="277">
        <f t="shared" si="4"/>
        <v>118.62348178137654</v>
      </c>
      <c r="G64" s="13"/>
      <c r="H64" s="278"/>
    </row>
    <row r="65" spans="1:9" x14ac:dyDescent="0.5">
      <c r="A65" s="12"/>
      <c r="B65" s="257" t="s">
        <v>609</v>
      </c>
      <c r="C65" s="12"/>
      <c r="D65" s="13">
        <v>7570.6487999999999</v>
      </c>
      <c r="E65" s="13">
        <v>14400</v>
      </c>
      <c r="F65" s="277">
        <f t="shared" si="4"/>
        <v>90.20826854364185</v>
      </c>
      <c r="G65" s="13"/>
      <c r="H65" s="278"/>
    </row>
    <row r="66" spans="1:9" ht="46.8" x14ac:dyDescent="0.5">
      <c r="A66" s="12"/>
      <c r="B66" s="257" t="s">
        <v>608</v>
      </c>
      <c r="C66" s="12"/>
      <c r="D66" s="13">
        <v>1074.2277000000001</v>
      </c>
      <c r="E66" s="13">
        <v>1500</v>
      </c>
      <c r="F66" s="277">
        <f t="shared" si="4"/>
        <v>39.635200246651578</v>
      </c>
      <c r="G66" s="13"/>
      <c r="H66" s="278"/>
    </row>
    <row r="67" spans="1:9" x14ac:dyDescent="0.5">
      <c r="A67" s="12"/>
      <c r="B67" s="257" t="s">
        <v>617</v>
      </c>
      <c r="C67" s="12"/>
      <c r="D67" s="13">
        <v>2161.25</v>
      </c>
      <c r="E67" s="13">
        <v>3000</v>
      </c>
      <c r="F67" s="277">
        <f t="shared" si="4"/>
        <v>38.808559861191441</v>
      </c>
      <c r="G67" s="13"/>
      <c r="H67" s="278"/>
    </row>
    <row r="68" spans="1:9" x14ac:dyDescent="0.5">
      <c r="A68" s="12"/>
      <c r="B68" s="257" t="s">
        <v>618</v>
      </c>
      <c r="C68" s="12"/>
      <c r="D68" s="13">
        <v>53699.825400000002</v>
      </c>
      <c r="E68" s="13">
        <v>66000</v>
      </c>
      <c r="F68" s="277">
        <f t="shared" si="4"/>
        <v>22.905427547256039</v>
      </c>
      <c r="G68" s="13"/>
      <c r="H68" s="278"/>
    </row>
    <row r="69" spans="1:9" x14ac:dyDescent="0.5">
      <c r="A69" s="12"/>
      <c r="B69" s="257" t="s">
        <v>619</v>
      </c>
      <c r="C69" s="12"/>
      <c r="D69" s="13">
        <v>1500</v>
      </c>
      <c r="E69" s="13">
        <v>2400</v>
      </c>
      <c r="F69" s="277">
        <f t="shared" si="4"/>
        <v>60</v>
      </c>
      <c r="G69" s="13"/>
      <c r="H69" s="278">
        <f t="shared" si="5"/>
        <v>0</v>
      </c>
    </row>
    <row r="70" spans="1:9" x14ac:dyDescent="0.5">
      <c r="A70" s="12"/>
      <c r="B70" s="257" t="s">
        <v>610</v>
      </c>
      <c r="C70" s="12"/>
      <c r="D70" s="13">
        <v>500</v>
      </c>
      <c r="E70" s="13">
        <v>500</v>
      </c>
      <c r="F70" s="277">
        <f t="shared" si="4"/>
        <v>0</v>
      </c>
      <c r="G70" s="13"/>
      <c r="H70" s="278">
        <f t="shared" si="5"/>
        <v>0</v>
      </c>
    </row>
    <row r="71" spans="1:9" x14ac:dyDescent="0.5">
      <c r="A71" s="12"/>
      <c r="B71" s="257" t="s">
        <v>611</v>
      </c>
      <c r="C71" s="12"/>
      <c r="D71" s="13">
        <v>5000</v>
      </c>
      <c r="E71" s="13">
        <v>0</v>
      </c>
      <c r="F71" s="277">
        <f t="shared" si="4"/>
        <v>-100</v>
      </c>
      <c r="G71" s="13"/>
      <c r="H71" s="278">
        <f t="shared" si="5"/>
        <v>0</v>
      </c>
    </row>
    <row r="72" spans="1:9" x14ac:dyDescent="0.5">
      <c r="A72" s="12"/>
      <c r="B72" s="257" t="s">
        <v>613</v>
      </c>
      <c r="C72" s="12"/>
      <c r="D72" s="13">
        <v>187.72</v>
      </c>
      <c r="E72" s="13">
        <v>1500</v>
      </c>
      <c r="F72" s="277">
        <f t="shared" si="4"/>
        <v>699.06243341146387</v>
      </c>
      <c r="G72" s="13"/>
      <c r="H72" s="278">
        <f t="shared" si="5"/>
        <v>0</v>
      </c>
    </row>
    <row r="73" spans="1:9" x14ac:dyDescent="0.5">
      <c r="A73" s="12"/>
      <c r="B73" s="257" t="s">
        <v>612</v>
      </c>
      <c r="C73" s="12"/>
      <c r="D73" s="13">
        <v>6582.7475999999997</v>
      </c>
      <c r="E73" s="13">
        <v>30000</v>
      </c>
      <c r="F73" s="277">
        <f t="shared" si="4"/>
        <v>355.73675041102899</v>
      </c>
      <c r="G73" s="13"/>
      <c r="H73" s="278">
        <f t="shared" si="5"/>
        <v>0</v>
      </c>
    </row>
    <row r="74" spans="1:9" s="347" customFormat="1" x14ac:dyDescent="0.5">
      <c r="A74" s="319"/>
      <c r="B74" s="297" t="s">
        <v>738</v>
      </c>
      <c r="C74" s="319"/>
      <c r="D74" s="13">
        <v>0</v>
      </c>
      <c r="E74" s="13">
        <v>5421.72</v>
      </c>
      <c r="F74" s="277">
        <f t="shared" si="4"/>
        <v>0</v>
      </c>
      <c r="G74" s="13"/>
      <c r="H74" s="278">
        <f t="shared" si="5"/>
        <v>0</v>
      </c>
      <c r="I74" s="265"/>
    </row>
    <row r="75" spans="1:9" x14ac:dyDescent="0.5">
      <c r="A75" s="12"/>
      <c r="B75" s="257" t="s">
        <v>620</v>
      </c>
      <c r="C75" s="12"/>
      <c r="D75" s="13">
        <v>262779.09999999998</v>
      </c>
      <c r="E75" s="320">
        <v>279089.76</v>
      </c>
      <c r="F75" s="277">
        <f t="shared" si="4"/>
        <v>6.2069852587211187</v>
      </c>
      <c r="G75" s="13"/>
      <c r="H75" s="278">
        <f t="shared" si="5"/>
        <v>0</v>
      </c>
    </row>
    <row r="76" spans="1:9" x14ac:dyDescent="0.5">
      <c r="A76" s="12"/>
      <c r="B76" s="257" t="s">
        <v>621</v>
      </c>
      <c r="C76" s="12"/>
      <c r="D76" s="13">
        <v>39533.570000000007</v>
      </c>
      <c r="E76" s="320">
        <v>41085.839999999997</v>
      </c>
      <c r="F76" s="277">
        <f t="shared" si="4"/>
        <v>3.9264604739718436</v>
      </c>
      <c r="G76" s="13"/>
      <c r="H76" s="278">
        <f t="shared" si="5"/>
        <v>0</v>
      </c>
    </row>
    <row r="77" spans="1:9" s="347" customFormat="1" x14ac:dyDescent="0.5">
      <c r="A77" s="319"/>
      <c r="B77" s="374" t="s">
        <v>590</v>
      </c>
      <c r="C77" s="319"/>
      <c r="D77" s="13">
        <v>0</v>
      </c>
      <c r="E77" s="320">
        <f>22620/2</f>
        <v>11310</v>
      </c>
      <c r="F77" s="277"/>
      <c r="G77" s="13"/>
      <c r="H77" s="278"/>
      <c r="I77" s="265"/>
    </row>
    <row r="78" spans="1:9" x14ac:dyDescent="0.5">
      <c r="A78" s="552" t="s">
        <v>0</v>
      </c>
      <c r="B78" s="552"/>
      <c r="C78" s="552"/>
      <c r="D78" s="280">
        <f>SUM(D62:D77)</f>
        <v>388534.83249999996</v>
      </c>
      <c r="E78" s="280">
        <f>SUM(E62:E77)</f>
        <v>477174.52</v>
      </c>
      <c r="F78" s="281">
        <f t="shared" si="4"/>
        <v>22.813832914195672</v>
      </c>
      <c r="G78" s="280">
        <f>SUM(G62:G76)</f>
        <v>0</v>
      </c>
      <c r="H78" s="282">
        <f t="shared" si="5"/>
        <v>0</v>
      </c>
    </row>
    <row r="79" spans="1:9" x14ac:dyDescent="0.5">
      <c r="A79" s="553"/>
      <c r="B79" s="553"/>
      <c r="C79" s="553"/>
      <c r="D79" s="553"/>
      <c r="E79" s="553"/>
      <c r="F79" s="553"/>
      <c r="G79" s="553"/>
      <c r="H79" s="553"/>
    </row>
    <row r="80" spans="1:9" x14ac:dyDescent="0.5">
      <c r="A80" s="554" t="s">
        <v>227</v>
      </c>
      <c r="B80" s="555"/>
      <c r="C80" s="555"/>
      <c r="D80" s="555"/>
      <c r="E80" s="555"/>
      <c r="F80" s="555"/>
      <c r="G80" s="555"/>
      <c r="H80" s="556"/>
    </row>
    <row r="81" spans="1:9" x14ac:dyDescent="0.5">
      <c r="A81" s="549"/>
      <c r="B81" s="550"/>
      <c r="C81" s="550"/>
      <c r="D81" s="550"/>
      <c r="E81" s="550"/>
      <c r="F81" s="550"/>
      <c r="G81" s="550"/>
      <c r="H81" s="551"/>
    </row>
    <row r="82" spans="1:9" x14ac:dyDescent="0.5">
      <c r="A82" s="286"/>
      <c r="B82" s="286"/>
      <c r="C82" s="286"/>
      <c r="D82" s="286"/>
      <c r="E82" s="286"/>
      <c r="F82" s="286"/>
      <c r="G82" s="286"/>
      <c r="H82" s="286"/>
    </row>
    <row r="83" spans="1:9" x14ac:dyDescent="0.5">
      <c r="A83" s="286"/>
      <c r="B83" s="286"/>
      <c r="C83" s="286"/>
      <c r="D83" s="286"/>
      <c r="E83" s="286"/>
      <c r="F83" s="286"/>
      <c r="G83" s="286"/>
      <c r="H83" s="286"/>
    </row>
    <row r="84" spans="1:9" x14ac:dyDescent="0.5">
      <c r="A84" s="536" t="s">
        <v>561</v>
      </c>
      <c r="B84" s="537"/>
      <c r="C84" s="557" t="str">
        <f>'Quadro Geral'!C54</f>
        <v>Escritório regional de Passo Fundo</v>
      </c>
      <c r="D84" s="557"/>
      <c r="E84" s="557"/>
      <c r="F84" s="557"/>
      <c r="G84" s="557"/>
      <c r="H84" s="558"/>
    </row>
    <row r="85" spans="1:9" x14ac:dyDescent="0.5">
      <c r="A85" s="537" t="s">
        <v>34</v>
      </c>
      <c r="B85" s="537"/>
      <c r="C85" s="557" t="str">
        <f>'Quadro Geral'!E54</f>
        <v>Tornar a fiscalização um vetor de melhoria do exercício da Arquitetura e Urbanismo</v>
      </c>
      <c r="D85" s="557"/>
      <c r="E85" s="557"/>
      <c r="F85" s="557"/>
      <c r="G85" s="557"/>
      <c r="H85" s="558"/>
    </row>
    <row r="86" spans="1:9" x14ac:dyDescent="0.5">
      <c r="A86" s="269"/>
      <c r="B86" s="269"/>
      <c r="C86" s="269"/>
      <c r="D86" s="270"/>
      <c r="E86" s="270"/>
      <c r="F86" s="270"/>
      <c r="G86" s="270" t="s">
        <v>155</v>
      </c>
      <c r="H86" s="270"/>
    </row>
    <row r="87" spans="1:9" x14ac:dyDescent="0.5">
      <c r="A87" s="540" t="s">
        <v>562</v>
      </c>
      <c r="B87" s="541"/>
      <c r="C87" s="541"/>
      <c r="D87" s="540" t="s">
        <v>563</v>
      </c>
      <c r="E87" s="541"/>
      <c r="F87" s="542"/>
      <c r="G87" s="543" t="s">
        <v>564</v>
      </c>
      <c r="H87" s="544"/>
    </row>
    <row r="88" spans="1:9" x14ac:dyDescent="0.5">
      <c r="A88" s="540" t="s">
        <v>565</v>
      </c>
      <c r="B88" s="541"/>
      <c r="C88" s="542"/>
      <c r="D88" s="540" t="s">
        <v>566</v>
      </c>
      <c r="E88" s="542"/>
      <c r="F88" s="545" t="s">
        <v>567</v>
      </c>
      <c r="G88" s="546" t="s">
        <v>568</v>
      </c>
      <c r="H88" s="546" t="s">
        <v>569</v>
      </c>
    </row>
    <row r="89" spans="1:9" ht="46.8" x14ac:dyDescent="0.5">
      <c r="A89" s="275" t="s">
        <v>570</v>
      </c>
      <c r="B89" s="275" t="s">
        <v>571</v>
      </c>
      <c r="C89" s="276" t="s">
        <v>572</v>
      </c>
      <c r="D89" s="275" t="s">
        <v>573</v>
      </c>
      <c r="E89" s="275" t="s">
        <v>574</v>
      </c>
      <c r="F89" s="545"/>
      <c r="G89" s="547"/>
      <c r="H89" s="547"/>
    </row>
    <row r="90" spans="1:9" ht="31.2" x14ac:dyDescent="0.5">
      <c r="A90" s="12"/>
      <c r="B90" s="257" t="s">
        <v>605</v>
      </c>
      <c r="C90" s="12"/>
      <c r="D90" s="13">
        <v>2496.9230000000002</v>
      </c>
      <c r="E90" s="13">
        <v>7000</v>
      </c>
      <c r="F90" s="277">
        <f t="shared" ref="F90:F107" si="6">IFERROR(E90/D90*100-100,)</f>
        <v>180.34504868592262</v>
      </c>
      <c r="G90" s="13"/>
      <c r="H90" s="278">
        <f t="shared" ref="H90:H107" si="7">IFERROR(G90/E90*100,)</f>
        <v>0</v>
      </c>
    </row>
    <row r="91" spans="1:9" ht="31.2" x14ac:dyDescent="0.5">
      <c r="A91" s="12"/>
      <c r="B91" s="257" t="s">
        <v>606</v>
      </c>
      <c r="C91" s="12"/>
      <c r="D91" s="13">
        <v>8430.2335000000003</v>
      </c>
      <c r="E91" s="13">
        <v>11567.2</v>
      </c>
      <c r="F91" s="277">
        <f t="shared" si="6"/>
        <v>37.210908808160525</v>
      </c>
      <c r="G91" s="13"/>
      <c r="H91" s="278"/>
    </row>
    <row r="92" spans="1:9" x14ac:dyDescent="0.5">
      <c r="A92" s="12"/>
      <c r="B92" s="257" t="s">
        <v>619</v>
      </c>
      <c r="C92" s="12"/>
      <c r="D92" s="13">
        <v>1500</v>
      </c>
      <c r="E92" s="13">
        <v>3000</v>
      </c>
      <c r="F92" s="277">
        <f t="shared" si="6"/>
        <v>100</v>
      </c>
      <c r="G92" s="13"/>
      <c r="H92" s="278"/>
    </row>
    <row r="93" spans="1:9" x14ac:dyDescent="0.5">
      <c r="A93" s="12"/>
      <c r="B93" s="257" t="s">
        <v>622</v>
      </c>
      <c r="C93" s="12"/>
      <c r="D93" s="13">
        <v>1500</v>
      </c>
      <c r="E93" s="13">
        <v>6000</v>
      </c>
      <c r="F93" s="277">
        <f t="shared" si="6"/>
        <v>300</v>
      </c>
      <c r="G93" s="13"/>
      <c r="H93" s="278"/>
    </row>
    <row r="94" spans="1:9" x14ac:dyDescent="0.5">
      <c r="A94" s="12"/>
      <c r="B94" s="257" t="s">
        <v>623</v>
      </c>
      <c r="C94" s="12"/>
      <c r="D94" s="13">
        <v>1976</v>
      </c>
      <c r="E94" s="13">
        <v>0</v>
      </c>
      <c r="F94" s="277">
        <f t="shared" si="6"/>
        <v>-100</v>
      </c>
      <c r="G94" s="13"/>
      <c r="H94" s="278"/>
    </row>
    <row r="95" spans="1:9" x14ac:dyDescent="0.5">
      <c r="A95" s="12"/>
      <c r="B95" s="257" t="s">
        <v>612</v>
      </c>
      <c r="C95" s="12"/>
      <c r="D95" s="13">
        <v>31363.565999999999</v>
      </c>
      <c r="E95" s="13">
        <v>30000</v>
      </c>
      <c r="F95" s="277">
        <f t="shared" si="6"/>
        <v>-4.3476114929023026</v>
      </c>
      <c r="G95" s="13"/>
      <c r="H95" s="278"/>
    </row>
    <row r="96" spans="1:9" s="347" customFormat="1" x14ac:dyDescent="0.5">
      <c r="A96" s="319"/>
      <c r="B96" s="297" t="s">
        <v>738</v>
      </c>
      <c r="C96" s="319"/>
      <c r="D96" s="13">
        <v>0</v>
      </c>
      <c r="E96" s="13">
        <v>5421.72</v>
      </c>
      <c r="F96" s="277">
        <f t="shared" si="6"/>
        <v>0</v>
      </c>
      <c r="G96" s="13"/>
      <c r="H96" s="278"/>
      <c r="I96" s="265"/>
    </row>
    <row r="97" spans="1:9" x14ac:dyDescent="0.5">
      <c r="A97" s="12"/>
      <c r="B97" s="257" t="s">
        <v>610</v>
      </c>
      <c r="C97" s="12"/>
      <c r="D97" s="13">
        <v>500</v>
      </c>
      <c r="E97" s="13">
        <v>600</v>
      </c>
      <c r="F97" s="277">
        <f t="shared" si="6"/>
        <v>20</v>
      </c>
      <c r="G97" s="13"/>
      <c r="H97" s="278"/>
    </row>
    <row r="98" spans="1:9" x14ac:dyDescent="0.5">
      <c r="A98" s="12"/>
      <c r="B98" s="257" t="s">
        <v>613</v>
      </c>
      <c r="C98" s="12"/>
      <c r="D98" s="13">
        <v>2500</v>
      </c>
      <c r="E98" s="13">
        <v>2100</v>
      </c>
      <c r="F98" s="277">
        <f t="shared" si="6"/>
        <v>-16</v>
      </c>
      <c r="G98" s="13"/>
      <c r="H98" s="278"/>
    </row>
    <row r="99" spans="1:9" x14ac:dyDescent="0.5">
      <c r="A99" s="12"/>
      <c r="B99" s="257" t="s">
        <v>624</v>
      </c>
      <c r="C99" s="12"/>
      <c r="D99" s="13">
        <v>37667.5</v>
      </c>
      <c r="E99" s="13">
        <v>48000</v>
      </c>
      <c r="F99" s="277">
        <f t="shared" si="6"/>
        <v>27.430809052897047</v>
      </c>
      <c r="G99" s="13"/>
      <c r="H99" s="278">
        <f t="shared" si="7"/>
        <v>0</v>
      </c>
    </row>
    <row r="100" spans="1:9" x14ac:dyDescent="0.5">
      <c r="A100" s="12"/>
      <c r="B100" s="257" t="s">
        <v>607</v>
      </c>
      <c r="C100" s="12"/>
      <c r="D100" s="13">
        <v>1676.3395999999998</v>
      </c>
      <c r="E100" s="13">
        <v>3600</v>
      </c>
      <c r="F100" s="277">
        <f t="shared" si="6"/>
        <v>114.75362152155805</v>
      </c>
      <c r="G100" s="13"/>
      <c r="H100" s="278">
        <f t="shared" si="7"/>
        <v>0</v>
      </c>
    </row>
    <row r="101" spans="1:9" ht="31.2" x14ac:dyDescent="0.5">
      <c r="A101" s="12"/>
      <c r="B101" s="257" t="s">
        <v>625</v>
      </c>
      <c r="C101" s="12"/>
      <c r="D101" s="13">
        <v>349.99899999999997</v>
      </c>
      <c r="E101" s="13">
        <v>1500</v>
      </c>
      <c r="F101" s="277">
        <f t="shared" si="6"/>
        <v>328.57265306472306</v>
      </c>
      <c r="G101" s="13"/>
      <c r="H101" s="278">
        <f t="shared" si="7"/>
        <v>0</v>
      </c>
    </row>
    <row r="102" spans="1:9" x14ac:dyDescent="0.5">
      <c r="A102" s="12"/>
      <c r="B102" s="257" t="s">
        <v>626</v>
      </c>
      <c r="C102" s="12"/>
      <c r="D102" s="13">
        <v>4200</v>
      </c>
      <c r="E102" s="13">
        <v>8100</v>
      </c>
      <c r="F102" s="277">
        <f t="shared" si="6"/>
        <v>92.857142857142861</v>
      </c>
      <c r="G102" s="13"/>
      <c r="H102" s="278">
        <f t="shared" si="7"/>
        <v>0</v>
      </c>
    </row>
    <row r="103" spans="1:9" x14ac:dyDescent="0.5">
      <c r="A103" s="12"/>
      <c r="B103" s="257" t="s">
        <v>617</v>
      </c>
      <c r="C103" s="12"/>
      <c r="D103" s="13">
        <v>1649.1448999999998</v>
      </c>
      <c r="E103" s="13">
        <v>3120</v>
      </c>
      <c r="F103" s="277">
        <f t="shared" si="6"/>
        <v>89.188954833501896</v>
      </c>
      <c r="G103" s="13"/>
      <c r="H103" s="278">
        <f t="shared" si="7"/>
        <v>0</v>
      </c>
    </row>
    <row r="104" spans="1:9" x14ac:dyDescent="0.5">
      <c r="A104" s="12"/>
      <c r="B104" s="257" t="s">
        <v>588</v>
      </c>
      <c r="C104" s="12"/>
      <c r="D104" s="13">
        <v>207047.49</v>
      </c>
      <c r="E104" s="320">
        <v>279145.32</v>
      </c>
      <c r="F104" s="277">
        <f t="shared" si="6"/>
        <v>34.821880719249492</v>
      </c>
      <c r="G104" s="13"/>
      <c r="H104" s="278">
        <f t="shared" si="7"/>
        <v>0</v>
      </c>
    </row>
    <row r="105" spans="1:9" x14ac:dyDescent="0.5">
      <c r="A105" s="12"/>
      <c r="B105" s="257" t="s">
        <v>589</v>
      </c>
      <c r="C105" s="12"/>
      <c r="D105" s="13">
        <v>19344.240000000002</v>
      </c>
      <c r="E105" s="320">
        <v>41085.839999999997</v>
      </c>
      <c r="F105" s="277">
        <f t="shared" si="6"/>
        <v>112.39314648701625</v>
      </c>
      <c r="G105" s="13"/>
      <c r="H105" s="278">
        <f t="shared" si="7"/>
        <v>0</v>
      </c>
    </row>
    <row r="106" spans="1:9" s="347" customFormat="1" x14ac:dyDescent="0.5">
      <c r="A106" s="322"/>
      <c r="B106" s="374" t="s">
        <v>590</v>
      </c>
      <c r="C106" s="322"/>
      <c r="D106" s="13"/>
      <c r="E106" s="320">
        <f>22620/2</f>
        <v>11310</v>
      </c>
      <c r="F106" s="277"/>
      <c r="G106" s="13"/>
      <c r="H106" s="278"/>
      <c r="I106" s="265"/>
    </row>
    <row r="107" spans="1:9" x14ac:dyDescent="0.5">
      <c r="A107" s="552" t="s">
        <v>0</v>
      </c>
      <c r="B107" s="552"/>
      <c r="C107" s="552"/>
      <c r="D107" s="280">
        <f>SUM(D90:D105)</f>
        <v>322201.43599999999</v>
      </c>
      <c r="E107" s="280">
        <f>SUM(E90:E106)</f>
        <v>461550.07999999996</v>
      </c>
      <c r="F107" s="281">
        <f t="shared" si="6"/>
        <v>43.248920839694819</v>
      </c>
      <c r="G107" s="280">
        <f>SUM(G90:G105)</f>
        <v>0</v>
      </c>
      <c r="H107" s="282">
        <f t="shared" si="7"/>
        <v>0</v>
      </c>
    </row>
    <row r="108" spans="1:9" x14ac:dyDescent="0.5">
      <c r="A108" s="553"/>
      <c r="B108" s="553"/>
      <c r="C108" s="553"/>
      <c r="D108" s="553"/>
      <c r="E108" s="553"/>
      <c r="F108" s="553"/>
      <c r="G108" s="553"/>
      <c r="H108" s="553"/>
    </row>
    <row r="109" spans="1:9" x14ac:dyDescent="0.5">
      <c r="A109" s="554" t="s">
        <v>227</v>
      </c>
      <c r="B109" s="555"/>
      <c r="C109" s="555"/>
      <c r="D109" s="555"/>
      <c r="E109" s="555"/>
      <c r="F109" s="555"/>
      <c r="G109" s="555"/>
      <c r="H109" s="556"/>
    </row>
    <row r="110" spans="1:9" x14ac:dyDescent="0.5">
      <c r="A110" s="549"/>
      <c r="B110" s="550"/>
      <c r="C110" s="550"/>
      <c r="D110" s="550"/>
      <c r="E110" s="550"/>
      <c r="F110" s="550"/>
      <c r="G110" s="550"/>
      <c r="H110" s="551"/>
    </row>
    <row r="111" spans="1:9" x14ac:dyDescent="0.5">
      <c r="A111" s="286"/>
      <c r="B111" s="286"/>
      <c r="C111" s="286"/>
      <c r="D111" s="286"/>
      <c r="E111" s="286"/>
      <c r="F111" s="286"/>
      <c r="G111" s="286"/>
      <c r="H111" s="286"/>
    </row>
    <row r="112" spans="1:9" x14ac:dyDescent="0.5">
      <c r="A112" s="286"/>
      <c r="B112" s="286"/>
      <c r="C112" s="286"/>
      <c r="D112" s="286"/>
      <c r="E112" s="286"/>
      <c r="F112" s="286"/>
      <c r="G112" s="286"/>
      <c r="H112" s="286"/>
    </row>
    <row r="113" spans="1:9" x14ac:dyDescent="0.5">
      <c r="A113" s="536" t="s">
        <v>561</v>
      </c>
      <c r="B113" s="537"/>
      <c r="C113" s="557" t="str">
        <f>'Quadro Geral'!C55</f>
        <v>Escritório regional de Caxias do Sul</v>
      </c>
      <c r="D113" s="557"/>
      <c r="E113" s="557"/>
      <c r="F113" s="557"/>
      <c r="G113" s="557"/>
      <c r="H113" s="558"/>
    </row>
    <row r="114" spans="1:9" x14ac:dyDescent="0.5">
      <c r="A114" s="537" t="s">
        <v>34</v>
      </c>
      <c r="B114" s="537"/>
      <c r="C114" s="557" t="str">
        <f>'Quadro Geral'!E55</f>
        <v>Tornar a fiscalização um vetor de melhoria do exercício da Arquitetura e Urbanismo</v>
      </c>
      <c r="D114" s="557"/>
      <c r="E114" s="557"/>
      <c r="F114" s="557"/>
      <c r="G114" s="557"/>
      <c r="H114" s="558"/>
    </row>
    <row r="115" spans="1:9" x14ac:dyDescent="0.5">
      <c r="A115" s="269"/>
      <c r="B115" s="269"/>
      <c r="C115" s="269"/>
      <c r="D115" s="270"/>
      <c r="E115" s="270"/>
      <c r="F115" s="270"/>
      <c r="G115" s="270" t="s">
        <v>155</v>
      </c>
      <c r="H115" s="270"/>
    </row>
    <row r="116" spans="1:9" x14ac:dyDescent="0.5">
      <c r="A116" s="540" t="s">
        <v>562</v>
      </c>
      <c r="B116" s="541"/>
      <c r="C116" s="541"/>
      <c r="D116" s="540" t="s">
        <v>563</v>
      </c>
      <c r="E116" s="541"/>
      <c r="F116" s="542"/>
      <c r="G116" s="543" t="s">
        <v>564</v>
      </c>
      <c r="H116" s="544"/>
    </row>
    <row r="117" spans="1:9" x14ac:dyDescent="0.5">
      <c r="A117" s="540" t="s">
        <v>565</v>
      </c>
      <c r="B117" s="541"/>
      <c r="C117" s="542"/>
      <c r="D117" s="540" t="s">
        <v>566</v>
      </c>
      <c r="E117" s="542"/>
      <c r="F117" s="545" t="s">
        <v>567</v>
      </c>
      <c r="G117" s="546" t="s">
        <v>568</v>
      </c>
      <c r="H117" s="546" t="s">
        <v>569</v>
      </c>
    </row>
    <row r="118" spans="1:9" ht="46.8" x14ac:dyDescent="0.5">
      <c r="A118" s="275" t="s">
        <v>570</v>
      </c>
      <c r="B118" s="275" t="s">
        <v>571</v>
      </c>
      <c r="C118" s="276" t="s">
        <v>572</v>
      </c>
      <c r="D118" s="275" t="s">
        <v>573</v>
      </c>
      <c r="E118" s="275" t="s">
        <v>574</v>
      </c>
      <c r="F118" s="545"/>
      <c r="G118" s="547"/>
      <c r="H118" s="547"/>
    </row>
    <row r="119" spans="1:9" ht="31.2" x14ac:dyDescent="0.5">
      <c r="A119" s="12"/>
      <c r="B119" s="257" t="s">
        <v>605</v>
      </c>
      <c r="C119" s="12"/>
      <c r="D119" s="13">
        <v>2496.8982999999998</v>
      </c>
      <c r="E119" s="13">
        <v>7000</v>
      </c>
      <c r="F119" s="277">
        <f t="shared" ref="F119:F135" si="8">IFERROR(E119/D119*100-100,)</f>
        <v>180.3478219357192</v>
      </c>
      <c r="G119" s="13"/>
      <c r="H119" s="278">
        <f t="shared" ref="H119:H135" si="9">IFERROR(G119/E119*100,)</f>
        <v>0</v>
      </c>
    </row>
    <row r="120" spans="1:9" ht="31.2" x14ac:dyDescent="0.5">
      <c r="A120" s="12"/>
      <c r="B120" s="257" t="s">
        <v>606</v>
      </c>
      <c r="C120" s="12"/>
      <c r="D120" s="13">
        <v>3276.7019999999998</v>
      </c>
      <c r="E120" s="13">
        <v>11567.2</v>
      </c>
      <c r="F120" s="277">
        <f t="shared" si="8"/>
        <v>253.01348734184563</v>
      </c>
      <c r="G120" s="13"/>
      <c r="H120" s="278">
        <f t="shared" si="9"/>
        <v>0</v>
      </c>
    </row>
    <row r="121" spans="1:9" x14ac:dyDescent="0.5">
      <c r="A121" s="12"/>
      <c r="B121" s="257" t="s">
        <v>619</v>
      </c>
      <c r="C121" s="12"/>
      <c r="D121" s="13">
        <v>1500</v>
      </c>
      <c r="E121" s="13">
        <v>3000</v>
      </c>
      <c r="F121" s="277">
        <f t="shared" si="8"/>
        <v>100</v>
      </c>
      <c r="G121" s="13"/>
      <c r="H121" s="278"/>
    </row>
    <row r="122" spans="1:9" x14ac:dyDescent="0.5">
      <c r="A122" s="12"/>
      <c r="B122" s="257" t="s">
        <v>622</v>
      </c>
      <c r="C122" s="12"/>
      <c r="D122" s="13">
        <v>1500</v>
      </c>
      <c r="E122" s="13">
        <v>6000</v>
      </c>
      <c r="F122" s="277">
        <f t="shared" si="8"/>
        <v>300</v>
      </c>
      <c r="G122" s="13"/>
      <c r="H122" s="278"/>
    </row>
    <row r="123" spans="1:9" x14ac:dyDescent="0.5">
      <c r="A123" s="12"/>
      <c r="B123" s="257" t="s">
        <v>612</v>
      </c>
      <c r="C123" s="12"/>
      <c r="D123" s="13">
        <v>40000.04</v>
      </c>
      <c r="E123" s="13">
        <v>30000</v>
      </c>
      <c r="F123" s="277">
        <f t="shared" si="8"/>
        <v>-25.000074999925005</v>
      </c>
      <c r="G123" s="13"/>
      <c r="H123" s="278"/>
    </row>
    <row r="124" spans="1:9" s="347" customFormat="1" x14ac:dyDescent="0.5">
      <c r="A124" s="319"/>
      <c r="B124" s="297" t="s">
        <v>738</v>
      </c>
      <c r="C124" s="319"/>
      <c r="D124" s="13">
        <v>0</v>
      </c>
      <c r="E124" s="13">
        <v>5421.72</v>
      </c>
      <c r="F124" s="277">
        <f t="shared" si="8"/>
        <v>0</v>
      </c>
      <c r="G124" s="13"/>
      <c r="H124" s="278"/>
      <c r="I124" s="265"/>
    </row>
    <row r="125" spans="1:9" x14ac:dyDescent="0.5">
      <c r="A125" s="12"/>
      <c r="B125" s="257" t="s">
        <v>623</v>
      </c>
      <c r="C125" s="12"/>
      <c r="D125" s="13">
        <v>1976</v>
      </c>
      <c r="E125" s="13">
        <v>0</v>
      </c>
      <c r="F125" s="277">
        <f t="shared" si="8"/>
        <v>-100</v>
      </c>
      <c r="G125" s="13"/>
      <c r="H125" s="278"/>
    </row>
    <row r="126" spans="1:9" x14ac:dyDescent="0.5">
      <c r="A126" s="12"/>
      <c r="B126" s="257" t="s">
        <v>613</v>
      </c>
      <c r="C126" s="12"/>
      <c r="D126" s="13">
        <v>2500</v>
      </c>
      <c r="E126" s="13">
        <v>1500</v>
      </c>
      <c r="F126" s="277">
        <f t="shared" si="8"/>
        <v>-40</v>
      </c>
      <c r="G126" s="13"/>
      <c r="H126" s="278"/>
    </row>
    <row r="127" spans="1:9" x14ac:dyDescent="0.5">
      <c r="A127" s="12"/>
      <c r="B127" s="257" t="s">
        <v>627</v>
      </c>
      <c r="C127" s="12"/>
      <c r="D127" s="13">
        <v>41945.811699999998</v>
      </c>
      <c r="E127" s="13">
        <v>72000</v>
      </c>
      <c r="F127" s="277">
        <f t="shared" si="8"/>
        <v>71.650033893610413</v>
      </c>
      <c r="G127" s="13"/>
      <c r="H127" s="278"/>
    </row>
    <row r="128" spans="1:9" x14ac:dyDescent="0.5">
      <c r="A128" s="12"/>
      <c r="B128" s="257" t="s">
        <v>610</v>
      </c>
      <c r="C128" s="12"/>
      <c r="D128" s="13">
        <v>877.34400000000005</v>
      </c>
      <c r="E128" s="13">
        <v>500</v>
      </c>
      <c r="F128" s="277">
        <f t="shared" si="8"/>
        <v>-43.009811430864062</v>
      </c>
      <c r="G128" s="13"/>
      <c r="H128" s="278">
        <f t="shared" si="9"/>
        <v>0</v>
      </c>
    </row>
    <row r="129" spans="1:9" ht="31.2" x14ac:dyDescent="0.5">
      <c r="A129" s="12"/>
      <c r="B129" s="257" t="s">
        <v>625</v>
      </c>
      <c r="C129" s="12"/>
      <c r="D129" s="13">
        <v>1399.502</v>
      </c>
      <c r="E129" s="13">
        <v>1200</v>
      </c>
      <c r="F129" s="277">
        <f t="shared" si="8"/>
        <v>-14.255213640280601</v>
      </c>
      <c r="G129" s="13"/>
      <c r="H129" s="278">
        <f t="shared" si="9"/>
        <v>0</v>
      </c>
    </row>
    <row r="130" spans="1:9" x14ac:dyDescent="0.5">
      <c r="A130" s="12"/>
      <c r="B130" s="257" t="s">
        <v>626</v>
      </c>
      <c r="C130" s="12"/>
      <c r="D130" s="13">
        <v>4200</v>
      </c>
      <c r="E130" s="13">
        <v>15312</v>
      </c>
      <c r="F130" s="277">
        <f t="shared" si="8"/>
        <v>264.57142857142861</v>
      </c>
      <c r="G130" s="13"/>
      <c r="H130" s="278">
        <f t="shared" si="9"/>
        <v>0</v>
      </c>
    </row>
    <row r="131" spans="1:9" x14ac:dyDescent="0.5">
      <c r="A131" s="12"/>
      <c r="B131" s="257" t="s">
        <v>588</v>
      </c>
      <c r="C131" s="12"/>
      <c r="D131" s="13">
        <v>182890.13</v>
      </c>
      <c r="E131" s="320">
        <v>182977.26</v>
      </c>
      <c r="F131" s="277">
        <f t="shared" si="8"/>
        <v>4.7640624455794978E-2</v>
      </c>
      <c r="G131" s="13"/>
      <c r="H131" s="278">
        <f t="shared" si="9"/>
        <v>0</v>
      </c>
    </row>
    <row r="132" spans="1:9" x14ac:dyDescent="0.5">
      <c r="A132" s="12"/>
      <c r="B132" s="257" t="s">
        <v>614</v>
      </c>
      <c r="C132" s="12"/>
      <c r="D132" s="13">
        <v>18220.669999999998</v>
      </c>
      <c r="E132" s="320">
        <v>25895.1</v>
      </c>
      <c r="F132" s="277">
        <f t="shared" si="8"/>
        <v>42.119362240795766</v>
      </c>
      <c r="G132" s="13"/>
      <c r="H132" s="278">
        <f t="shared" si="9"/>
        <v>0</v>
      </c>
    </row>
    <row r="133" spans="1:9" s="347" customFormat="1" x14ac:dyDescent="0.5">
      <c r="A133" s="319"/>
      <c r="B133" s="374" t="s">
        <v>590</v>
      </c>
      <c r="C133" s="319"/>
      <c r="D133" s="13"/>
      <c r="E133" s="320">
        <f>22620/2</f>
        <v>11310</v>
      </c>
      <c r="F133" s="277"/>
      <c r="G133" s="13"/>
      <c r="H133" s="278"/>
      <c r="I133" s="265"/>
    </row>
    <row r="134" spans="1:9" x14ac:dyDescent="0.5">
      <c r="A134" s="12"/>
      <c r="B134" s="12" t="s">
        <v>617</v>
      </c>
      <c r="C134" s="12"/>
      <c r="D134" s="13">
        <v>2470</v>
      </c>
      <c r="E134" s="13">
        <v>4200</v>
      </c>
      <c r="F134" s="277">
        <f t="shared" si="8"/>
        <v>70.040485829959522</v>
      </c>
      <c r="G134" s="13"/>
      <c r="H134" s="278">
        <f t="shared" si="9"/>
        <v>0</v>
      </c>
    </row>
    <row r="135" spans="1:9" x14ac:dyDescent="0.5">
      <c r="A135" s="552" t="s">
        <v>0</v>
      </c>
      <c r="B135" s="552"/>
      <c r="C135" s="552"/>
      <c r="D135" s="280">
        <f>SUM(D119:D134)</f>
        <v>305253.09799999994</v>
      </c>
      <c r="E135" s="280">
        <f>SUM(E119:E134)</f>
        <v>377883.27999999997</v>
      </c>
      <c r="F135" s="281">
        <f t="shared" si="8"/>
        <v>23.793429935967453</v>
      </c>
      <c r="G135" s="280">
        <f>SUM(G119:G134)</f>
        <v>0</v>
      </c>
      <c r="H135" s="282">
        <f t="shared" si="9"/>
        <v>0</v>
      </c>
    </row>
    <row r="136" spans="1:9" x14ac:dyDescent="0.5">
      <c r="A136" s="553"/>
      <c r="B136" s="553"/>
      <c r="C136" s="553"/>
      <c r="D136" s="553"/>
      <c r="E136" s="553"/>
      <c r="F136" s="553"/>
      <c r="G136" s="553"/>
      <c r="H136" s="553"/>
    </row>
    <row r="137" spans="1:9" x14ac:dyDescent="0.5">
      <c r="A137" s="554" t="s">
        <v>227</v>
      </c>
      <c r="B137" s="555"/>
      <c r="C137" s="555"/>
      <c r="D137" s="555"/>
      <c r="E137" s="555"/>
      <c r="F137" s="555"/>
      <c r="G137" s="555"/>
      <c r="H137" s="556"/>
    </row>
    <row r="138" spans="1:9" x14ac:dyDescent="0.5">
      <c r="A138" s="549"/>
      <c r="B138" s="550"/>
      <c r="C138" s="550"/>
      <c r="D138" s="550"/>
      <c r="E138" s="550"/>
      <c r="F138" s="550"/>
      <c r="G138" s="550"/>
      <c r="H138" s="551"/>
    </row>
    <row r="139" spans="1:9" x14ac:dyDescent="0.5">
      <c r="A139" s="286"/>
      <c r="B139" s="286"/>
      <c r="C139" s="286"/>
      <c r="D139" s="286"/>
      <c r="E139" s="286"/>
      <c r="F139" s="286"/>
      <c r="G139" s="286"/>
      <c r="H139" s="286"/>
    </row>
    <row r="140" spans="1:9" s="347" customFormat="1" x14ac:dyDescent="0.5">
      <c r="A140" s="286"/>
      <c r="B140" s="286"/>
      <c r="C140" s="286"/>
      <c r="D140" s="286"/>
      <c r="E140" s="286"/>
      <c r="F140" s="286"/>
      <c r="G140" s="286"/>
      <c r="H140" s="286"/>
      <c r="I140" s="265"/>
    </row>
    <row r="141" spans="1:9" s="347" customFormat="1" x14ac:dyDescent="0.5">
      <c r="A141" s="536" t="s">
        <v>561</v>
      </c>
      <c r="B141" s="537"/>
      <c r="C141" s="538" t="str">
        <f>'Quadro Geral'!C56</f>
        <v>Espaço do arquiteto</v>
      </c>
      <c r="D141" s="538"/>
      <c r="E141" s="538"/>
      <c r="F141" s="538"/>
      <c r="G141" s="538"/>
      <c r="H141" s="539"/>
      <c r="I141" s="265"/>
    </row>
    <row r="142" spans="1:9" s="347" customFormat="1" x14ac:dyDescent="0.5">
      <c r="A142" s="537" t="s">
        <v>34</v>
      </c>
      <c r="B142" s="537"/>
      <c r="C142" s="538" t="str">
        <f>'Quadro Geral'!E56</f>
        <v>Assegurar a eficácia no atendimento e no relacionamento com os Arquitetos e Urbanistas e a Sociedade</v>
      </c>
      <c r="D142" s="538"/>
      <c r="E142" s="538"/>
      <c r="F142" s="538"/>
      <c r="G142" s="538"/>
      <c r="H142" s="539"/>
      <c r="I142" s="265"/>
    </row>
    <row r="143" spans="1:9" s="347" customFormat="1" x14ac:dyDescent="0.5">
      <c r="A143" s="303"/>
      <c r="B143" s="303"/>
      <c r="C143" s="303"/>
      <c r="D143" s="270"/>
      <c r="E143" s="270"/>
      <c r="F143" s="270"/>
      <c r="G143" s="270" t="s">
        <v>155</v>
      </c>
      <c r="H143" s="270"/>
      <c r="I143" s="265"/>
    </row>
    <row r="144" spans="1:9" s="347" customFormat="1" x14ac:dyDescent="0.5">
      <c r="A144" s="540" t="s">
        <v>562</v>
      </c>
      <c r="B144" s="541"/>
      <c r="C144" s="541"/>
      <c r="D144" s="540" t="s">
        <v>563</v>
      </c>
      <c r="E144" s="541"/>
      <c r="F144" s="542"/>
      <c r="G144" s="543" t="s">
        <v>564</v>
      </c>
      <c r="H144" s="544"/>
      <c r="I144" s="265"/>
    </row>
    <row r="145" spans="1:9" s="347" customFormat="1" x14ac:dyDescent="0.5">
      <c r="A145" s="540" t="s">
        <v>565</v>
      </c>
      <c r="B145" s="541"/>
      <c r="C145" s="542"/>
      <c r="D145" s="540" t="s">
        <v>566</v>
      </c>
      <c r="E145" s="542"/>
      <c r="F145" s="545" t="s">
        <v>567</v>
      </c>
      <c r="G145" s="546" t="s">
        <v>568</v>
      </c>
      <c r="H145" s="546" t="s">
        <v>569</v>
      </c>
      <c r="I145" s="265"/>
    </row>
    <row r="146" spans="1:9" s="347" customFormat="1" ht="46.8" x14ac:dyDescent="0.5">
      <c r="A146" s="301" t="s">
        <v>570</v>
      </c>
      <c r="B146" s="301" t="s">
        <v>571</v>
      </c>
      <c r="C146" s="276" t="s">
        <v>572</v>
      </c>
      <c r="D146" s="301" t="s">
        <v>573</v>
      </c>
      <c r="E146" s="301" t="s">
        <v>574</v>
      </c>
      <c r="F146" s="545"/>
      <c r="G146" s="547"/>
      <c r="H146" s="547"/>
      <c r="I146" s="265"/>
    </row>
    <row r="147" spans="1:9" s="347" customFormat="1" x14ac:dyDescent="0.5">
      <c r="A147" s="319"/>
      <c r="B147" s="319" t="s">
        <v>721</v>
      </c>
      <c r="C147" s="319"/>
      <c r="D147" s="13">
        <v>0</v>
      </c>
      <c r="E147" s="13">
        <v>50000</v>
      </c>
      <c r="F147" s="277">
        <f t="shared" ref="F147:F149" si="10">IFERROR(E147/D147*100-100,)</f>
        <v>0</v>
      </c>
      <c r="G147" s="13"/>
      <c r="H147" s="278">
        <f t="shared" ref="H147" si="11">IFERROR(G147/E147*100,)</f>
        <v>0</v>
      </c>
      <c r="I147" s="265"/>
    </row>
    <row r="148" spans="1:9" s="347" customFormat="1" x14ac:dyDescent="0.5">
      <c r="A148" s="319"/>
      <c r="B148" s="319" t="s">
        <v>722</v>
      </c>
      <c r="C148" s="319"/>
      <c r="D148" s="13">
        <v>0</v>
      </c>
      <c r="E148" s="13">
        <v>900000</v>
      </c>
      <c r="F148" s="277">
        <f t="shared" si="10"/>
        <v>0</v>
      </c>
      <c r="G148" s="13"/>
      <c r="H148" s="278"/>
      <c r="I148" s="265"/>
    </row>
    <row r="149" spans="1:9" s="347" customFormat="1" x14ac:dyDescent="0.5">
      <c r="A149" s="552" t="s">
        <v>0</v>
      </c>
      <c r="B149" s="552"/>
      <c r="C149" s="552"/>
      <c r="D149" s="280">
        <f>SUM(D147:D148)</f>
        <v>0</v>
      </c>
      <c r="E149" s="280">
        <f>SUM(E147:E148)</f>
        <v>950000</v>
      </c>
      <c r="F149" s="281">
        <f t="shared" si="10"/>
        <v>0</v>
      </c>
      <c r="G149" s="280">
        <f>SUM(G147:G148)</f>
        <v>0</v>
      </c>
      <c r="H149" s="282">
        <f t="shared" ref="H149" si="12">IFERROR(G149/E149*100,)</f>
        <v>0</v>
      </c>
      <c r="I149" s="265"/>
    </row>
    <row r="150" spans="1:9" s="347" customFormat="1" x14ac:dyDescent="0.5">
      <c r="A150" s="553"/>
      <c r="B150" s="553"/>
      <c r="C150" s="553"/>
      <c r="D150" s="553"/>
      <c r="E150" s="553"/>
      <c r="F150" s="553"/>
      <c r="G150" s="553"/>
      <c r="H150" s="553"/>
      <c r="I150" s="265"/>
    </row>
    <row r="151" spans="1:9" s="347" customFormat="1" x14ac:dyDescent="0.5">
      <c r="A151" s="554" t="s">
        <v>227</v>
      </c>
      <c r="B151" s="555"/>
      <c r="C151" s="555"/>
      <c r="D151" s="555"/>
      <c r="E151" s="555"/>
      <c r="F151" s="555"/>
      <c r="G151" s="555"/>
      <c r="H151" s="556"/>
      <c r="I151" s="265"/>
    </row>
    <row r="152" spans="1:9" s="347" customFormat="1" x14ac:dyDescent="0.5">
      <c r="A152" s="549"/>
      <c r="B152" s="550"/>
      <c r="C152" s="550"/>
      <c r="D152" s="550"/>
      <c r="E152" s="550"/>
      <c r="F152" s="550"/>
      <c r="G152" s="550"/>
      <c r="H152" s="551"/>
      <c r="I152" s="265"/>
    </row>
    <row r="153" spans="1:9" s="347" customFormat="1" x14ac:dyDescent="0.5">
      <c r="A153" s="286"/>
      <c r="B153" s="286"/>
      <c r="C153" s="286"/>
      <c r="D153" s="286"/>
      <c r="E153" s="286"/>
      <c r="F153" s="286"/>
      <c r="G153" s="286"/>
      <c r="H153" s="286"/>
      <c r="I153" s="265"/>
    </row>
    <row r="154" spans="1:9" s="347" customFormat="1" x14ac:dyDescent="0.5">
      <c r="A154" s="286"/>
      <c r="B154" s="286"/>
      <c r="C154" s="286"/>
      <c r="D154" s="286"/>
      <c r="E154" s="286"/>
      <c r="F154" s="286"/>
      <c r="G154" s="286"/>
      <c r="H154" s="286"/>
      <c r="I154" s="265"/>
    </row>
    <row r="155" spans="1:9" s="347" customFormat="1" x14ac:dyDescent="0.5">
      <c r="A155" s="286"/>
      <c r="B155" s="286"/>
      <c r="C155" s="286"/>
      <c r="D155" s="286"/>
      <c r="E155" s="286"/>
      <c r="F155" s="286"/>
      <c r="G155" s="286"/>
      <c r="H155" s="286"/>
      <c r="I155" s="265"/>
    </row>
    <row r="156" spans="1:9" s="347" customFormat="1" x14ac:dyDescent="0.5">
      <c r="A156" s="286"/>
      <c r="B156" s="286"/>
      <c r="C156" s="286"/>
      <c r="D156" s="286"/>
      <c r="E156" s="286"/>
      <c r="F156" s="286"/>
      <c r="G156" s="286"/>
      <c r="H156" s="286"/>
      <c r="I156" s="265"/>
    </row>
    <row r="157" spans="1:9" s="347" customFormat="1" x14ac:dyDescent="0.5">
      <c r="A157" s="286"/>
      <c r="B157" s="286"/>
      <c r="C157" s="286"/>
      <c r="D157" s="286"/>
      <c r="E157" s="286"/>
      <c r="F157" s="286"/>
      <c r="G157" s="286"/>
      <c r="H157" s="286"/>
      <c r="I157" s="265"/>
    </row>
    <row r="158" spans="1:9" s="347" customFormat="1" x14ac:dyDescent="0.5">
      <c r="A158" s="286"/>
      <c r="B158" s="286"/>
      <c r="C158" s="286"/>
      <c r="D158" s="286"/>
      <c r="E158" s="286"/>
      <c r="F158" s="286"/>
      <c r="G158" s="286"/>
      <c r="H158" s="286"/>
      <c r="I158" s="265"/>
    </row>
    <row r="159" spans="1:9" s="347" customFormat="1" x14ac:dyDescent="0.5">
      <c r="A159" s="286"/>
      <c r="B159" s="286"/>
      <c r="C159" s="286"/>
      <c r="D159" s="286"/>
      <c r="E159" s="286"/>
      <c r="F159" s="286"/>
      <c r="G159" s="286"/>
      <c r="H159" s="286"/>
      <c r="I159" s="265"/>
    </row>
    <row r="160" spans="1:9" s="347" customFormat="1" x14ac:dyDescent="0.5">
      <c r="A160" s="286"/>
      <c r="B160" s="286"/>
      <c r="C160" s="286"/>
      <c r="D160" s="286"/>
      <c r="E160" s="286"/>
      <c r="F160" s="286"/>
      <c r="G160" s="286"/>
      <c r="H160" s="286"/>
      <c r="I160" s="265"/>
    </row>
    <row r="161" spans="1:9" s="347" customFormat="1" x14ac:dyDescent="0.5">
      <c r="A161" s="286"/>
      <c r="B161" s="286"/>
      <c r="C161" s="286"/>
      <c r="D161" s="286"/>
      <c r="E161" s="286"/>
      <c r="F161" s="286"/>
      <c r="G161" s="286"/>
      <c r="H161" s="286"/>
      <c r="I161" s="265"/>
    </row>
    <row r="162" spans="1:9" s="347" customFormat="1" x14ac:dyDescent="0.5">
      <c r="A162" s="286"/>
      <c r="B162" s="286"/>
      <c r="C162" s="286"/>
      <c r="D162" s="286"/>
      <c r="E162" s="286"/>
      <c r="F162" s="286"/>
      <c r="G162" s="286"/>
      <c r="H162" s="286"/>
      <c r="I162" s="265"/>
    </row>
    <row r="163" spans="1:9" s="347" customFormat="1" x14ac:dyDescent="0.5">
      <c r="A163" s="286"/>
      <c r="B163" s="286"/>
      <c r="C163" s="286"/>
      <c r="D163" s="286"/>
      <c r="E163" s="286"/>
      <c r="F163" s="286"/>
      <c r="G163" s="286"/>
      <c r="H163" s="286"/>
      <c r="I163" s="265"/>
    </row>
    <row r="164" spans="1:9" s="347" customFormat="1" x14ac:dyDescent="0.5">
      <c r="A164" s="286"/>
      <c r="B164" s="286"/>
      <c r="C164" s="286"/>
      <c r="D164" s="286"/>
      <c r="E164" s="286"/>
      <c r="F164" s="286"/>
      <c r="G164" s="286"/>
      <c r="H164" s="286"/>
      <c r="I164" s="265"/>
    </row>
    <row r="165" spans="1:9" s="347" customFormat="1" x14ac:dyDescent="0.5">
      <c r="A165" s="286"/>
      <c r="B165" s="286"/>
      <c r="C165" s="286"/>
      <c r="D165" s="286"/>
      <c r="E165" s="286"/>
      <c r="F165" s="286"/>
      <c r="G165" s="286"/>
      <c r="H165" s="286"/>
      <c r="I165" s="265"/>
    </row>
    <row r="166" spans="1:9" s="347" customFormat="1" x14ac:dyDescent="0.5">
      <c r="A166" s="286"/>
      <c r="B166" s="286"/>
      <c r="C166" s="286"/>
      <c r="D166" s="286"/>
      <c r="E166" s="286"/>
      <c r="F166" s="286"/>
      <c r="G166" s="286"/>
      <c r="H166" s="286"/>
      <c r="I166" s="265"/>
    </row>
    <row r="167" spans="1:9" s="347" customFormat="1" x14ac:dyDescent="0.5">
      <c r="A167" s="286"/>
      <c r="B167" s="286"/>
      <c r="C167" s="286"/>
      <c r="D167" s="286"/>
      <c r="E167" s="286"/>
      <c r="F167" s="286"/>
      <c r="G167" s="286"/>
      <c r="H167" s="286"/>
      <c r="I167" s="265"/>
    </row>
    <row r="168" spans="1:9" s="347" customFormat="1" x14ac:dyDescent="0.5">
      <c r="A168" s="286"/>
      <c r="B168" s="286"/>
      <c r="C168" s="286"/>
      <c r="D168" s="286"/>
      <c r="E168" s="286"/>
      <c r="F168" s="286"/>
      <c r="G168" s="286"/>
      <c r="H168" s="286"/>
      <c r="I168" s="265"/>
    </row>
    <row r="169" spans="1:9" s="347" customFormat="1" x14ac:dyDescent="0.5">
      <c r="A169" s="286"/>
      <c r="B169" s="286"/>
      <c r="C169" s="286"/>
      <c r="D169" s="286"/>
      <c r="E169" s="286"/>
      <c r="F169" s="286"/>
      <c r="G169" s="286"/>
      <c r="H169" s="286"/>
      <c r="I169" s="265"/>
    </row>
    <row r="170" spans="1:9" s="347" customFormat="1" x14ac:dyDescent="0.5">
      <c r="A170" s="286"/>
      <c r="B170" s="286"/>
      <c r="C170" s="286"/>
      <c r="D170" s="286"/>
      <c r="E170" s="286"/>
      <c r="F170" s="286"/>
      <c r="G170" s="286"/>
      <c r="H170" s="286"/>
      <c r="I170" s="265"/>
    </row>
    <row r="171" spans="1:9" s="347" customFormat="1" x14ac:dyDescent="0.5">
      <c r="A171" s="286"/>
      <c r="B171" s="286"/>
      <c r="C171" s="286"/>
      <c r="D171" s="286"/>
      <c r="E171" s="286"/>
      <c r="F171" s="286"/>
      <c r="G171" s="286"/>
      <c r="H171" s="286"/>
      <c r="I171" s="265"/>
    </row>
    <row r="172" spans="1:9" s="347" customFormat="1" x14ac:dyDescent="0.5">
      <c r="A172" s="286"/>
      <c r="B172" s="286"/>
      <c r="C172" s="286"/>
      <c r="D172" s="286"/>
      <c r="E172" s="286"/>
      <c r="F172" s="286"/>
      <c r="G172" s="286"/>
      <c r="H172" s="286"/>
      <c r="I172" s="265"/>
    </row>
    <row r="173" spans="1:9" s="347" customFormat="1" x14ac:dyDescent="0.5">
      <c r="A173" s="286"/>
      <c r="B173" s="286"/>
      <c r="C173" s="286"/>
      <c r="D173" s="286"/>
      <c r="E173" s="286"/>
      <c r="F173" s="286"/>
      <c r="G173" s="286"/>
      <c r="H173" s="286"/>
      <c r="I173" s="265"/>
    </row>
    <row r="174" spans="1:9" s="347" customFormat="1" x14ac:dyDescent="0.5">
      <c r="A174" s="286"/>
      <c r="B174" s="286"/>
      <c r="C174" s="286"/>
      <c r="D174" s="286"/>
      <c r="E174" s="286"/>
      <c r="F174" s="286"/>
      <c r="G174" s="286"/>
      <c r="H174" s="286"/>
      <c r="I174" s="265"/>
    </row>
    <row r="175" spans="1:9" s="347" customFormat="1" x14ac:dyDescent="0.5">
      <c r="A175" s="286"/>
      <c r="B175" s="286"/>
      <c r="C175" s="286"/>
      <c r="D175" s="286"/>
      <c r="E175" s="286"/>
      <c r="F175" s="286"/>
      <c r="G175" s="286"/>
      <c r="H175" s="286"/>
      <c r="I175" s="265"/>
    </row>
    <row r="176" spans="1:9" x14ac:dyDescent="0.5">
      <c r="A176" s="286"/>
      <c r="B176" s="286"/>
      <c r="C176" s="286"/>
      <c r="D176" s="286"/>
      <c r="E176" s="286"/>
      <c r="F176" s="286"/>
      <c r="G176" s="286"/>
      <c r="H176" s="286"/>
    </row>
    <row r="177" spans="1:12" x14ac:dyDescent="0.5">
      <c r="A177" s="554" t="s">
        <v>577</v>
      </c>
      <c r="B177" s="555"/>
      <c r="C177" s="555"/>
      <c r="D177" s="555"/>
      <c r="E177" s="555"/>
      <c r="F177" s="555"/>
      <c r="G177" s="555"/>
      <c r="H177" s="556"/>
      <c r="I177" s="287"/>
      <c r="J177" s="288"/>
      <c r="K177" s="288"/>
      <c r="L177" s="272"/>
    </row>
    <row r="178" spans="1:12" ht="129" customHeight="1" x14ac:dyDescent="0.5">
      <c r="A178" s="548" t="s">
        <v>578</v>
      </c>
      <c r="B178" s="548"/>
      <c r="C178" s="548"/>
      <c r="D178" s="548"/>
      <c r="E178" s="548"/>
      <c r="F178" s="548"/>
      <c r="G178" s="548"/>
      <c r="H178" s="548"/>
    </row>
    <row r="179" spans="1:12" ht="181.5" customHeight="1" x14ac:dyDescent="0.5">
      <c r="A179" s="548"/>
      <c r="B179" s="548"/>
      <c r="C179" s="548"/>
      <c r="D179" s="548"/>
      <c r="E179" s="548"/>
      <c r="F179" s="548"/>
      <c r="G179" s="548"/>
      <c r="H179" s="548"/>
    </row>
    <row r="180" spans="1:12" x14ac:dyDescent="0.5"/>
    <row r="181" spans="1:12" x14ac:dyDescent="0.5"/>
    <row r="182" spans="1:12" x14ac:dyDescent="0.5"/>
    <row r="183" spans="1:12" x14ac:dyDescent="0.5"/>
    <row r="184" spans="1:12" x14ac:dyDescent="0.5"/>
    <row r="185" spans="1:12" x14ac:dyDescent="0.5"/>
    <row r="186" spans="1:12" x14ac:dyDescent="0.5"/>
    <row r="187" spans="1:12" x14ac:dyDescent="0.5"/>
    <row r="188" spans="1:12" x14ac:dyDescent="0.5"/>
    <row r="189" spans="1:12" x14ac:dyDescent="0.5"/>
    <row r="190" spans="1:12" x14ac:dyDescent="0.5"/>
    <row r="191" spans="1:12" x14ac:dyDescent="0.5"/>
    <row r="192" spans="1:12" x14ac:dyDescent="0.5"/>
    <row r="193" x14ac:dyDescent="0.5"/>
    <row r="194" x14ac:dyDescent="0.5"/>
    <row r="195" x14ac:dyDescent="0.5"/>
    <row r="196" x14ac:dyDescent="0.5"/>
    <row r="197" x14ac:dyDescent="0.5"/>
    <row r="198" x14ac:dyDescent="0.5"/>
    <row r="199" x14ac:dyDescent="0.5"/>
    <row r="200" x14ac:dyDescent="0.5"/>
    <row r="201" x14ac:dyDescent="0.5"/>
    <row r="202" x14ac:dyDescent="0.5"/>
    <row r="203" x14ac:dyDescent="0.5"/>
    <row r="204" x14ac:dyDescent="0.5"/>
    <row r="205" x14ac:dyDescent="0.5"/>
    <row r="206" x14ac:dyDescent="0.5"/>
    <row r="207" x14ac:dyDescent="0.5"/>
    <row r="208" x14ac:dyDescent="0.5"/>
    <row r="209" x14ac:dyDescent="0.5"/>
    <row r="210" x14ac:dyDescent="0.5"/>
    <row r="211" x14ac:dyDescent="0.5"/>
    <row r="212" x14ac:dyDescent="0.5"/>
    <row r="213" x14ac:dyDescent="0.5"/>
    <row r="214" x14ac:dyDescent="0.5"/>
    <row r="215" x14ac:dyDescent="0.5"/>
    <row r="216" x14ac:dyDescent="0.5"/>
    <row r="217" x14ac:dyDescent="0.5"/>
    <row r="218" x14ac:dyDescent="0.5"/>
    <row r="219" x14ac:dyDescent="0.5"/>
    <row r="220" x14ac:dyDescent="0.5"/>
    <row r="221" x14ac:dyDescent="0.5"/>
    <row r="222" x14ac:dyDescent="0.5"/>
    <row r="223" x14ac:dyDescent="0.5"/>
    <row r="224" x14ac:dyDescent="0.5"/>
    <row r="225" x14ac:dyDescent="0.5"/>
    <row r="226" x14ac:dyDescent="0.5"/>
    <row r="227" x14ac:dyDescent="0.5"/>
    <row r="228" x14ac:dyDescent="0.5"/>
    <row r="229" x14ac:dyDescent="0.5"/>
    <row r="230" x14ac:dyDescent="0.5"/>
    <row r="231" x14ac:dyDescent="0.5"/>
    <row r="232" x14ac:dyDescent="0.5"/>
    <row r="233" x14ac:dyDescent="0.5"/>
    <row r="234" x14ac:dyDescent="0.5"/>
    <row r="235" x14ac:dyDescent="0.5"/>
    <row r="236" x14ac:dyDescent="0.5"/>
    <row r="237" x14ac:dyDescent="0.5"/>
    <row r="238" x14ac:dyDescent="0.5"/>
    <row r="239" x14ac:dyDescent="0.5"/>
    <row r="240" x14ac:dyDescent="0.5"/>
    <row r="241" x14ac:dyDescent="0.5"/>
    <row r="242" x14ac:dyDescent="0.5"/>
    <row r="243" x14ac:dyDescent="0.5"/>
    <row r="244" x14ac:dyDescent="0.5"/>
    <row r="245" x14ac:dyDescent="0.5"/>
    <row r="246" x14ac:dyDescent="0.5"/>
    <row r="247" x14ac:dyDescent="0.5"/>
    <row r="248" x14ac:dyDescent="0.5"/>
    <row r="249" x14ac:dyDescent="0.5"/>
    <row r="250" x14ac:dyDescent="0.5"/>
    <row r="251" x14ac:dyDescent="0.5"/>
    <row r="252" x14ac:dyDescent="0.5"/>
    <row r="253" x14ac:dyDescent="0.5"/>
    <row r="254" x14ac:dyDescent="0.5"/>
    <row r="255" x14ac:dyDescent="0.5"/>
    <row r="256" x14ac:dyDescent="0.5"/>
    <row r="257" x14ac:dyDescent="0.5"/>
    <row r="258" x14ac:dyDescent="0.5"/>
    <row r="259" x14ac:dyDescent="0.5"/>
    <row r="260" x14ac:dyDescent="0.5"/>
    <row r="261" x14ac:dyDescent="0.5"/>
    <row r="262" x14ac:dyDescent="0.5"/>
    <row r="263" x14ac:dyDescent="0.5"/>
    <row r="264" x14ac:dyDescent="0.5"/>
    <row r="265" x14ac:dyDescent="0.5"/>
    <row r="266" x14ac:dyDescent="0.5"/>
    <row r="267" x14ac:dyDescent="0.5"/>
    <row r="268" x14ac:dyDescent="0.5"/>
    <row r="269" x14ac:dyDescent="0.5"/>
    <row r="270" x14ac:dyDescent="0.5"/>
    <row r="271" x14ac:dyDescent="0.5"/>
    <row r="272" x14ac:dyDescent="0.5"/>
    <row r="273" x14ac:dyDescent="0.5"/>
    <row r="274" x14ac:dyDescent="0.5"/>
    <row r="275" x14ac:dyDescent="0.5"/>
    <row r="276" x14ac:dyDescent="0.5"/>
    <row r="277" x14ac:dyDescent="0.5"/>
    <row r="278" x14ac:dyDescent="0.5"/>
    <row r="279" x14ac:dyDescent="0.5"/>
    <row r="280" x14ac:dyDescent="0.5"/>
    <row r="281" x14ac:dyDescent="0.5"/>
    <row r="282" x14ac:dyDescent="0.5"/>
    <row r="283" x14ac:dyDescent="0.5"/>
    <row r="284" x14ac:dyDescent="0.5"/>
    <row r="285" x14ac:dyDescent="0.5"/>
    <row r="286" x14ac:dyDescent="0.5"/>
    <row r="287" x14ac:dyDescent="0.5"/>
    <row r="288" x14ac:dyDescent="0.5"/>
    <row r="289" x14ac:dyDescent="0.5"/>
    <row r="290" x14ac:dyDescent="0.5"/>
    <row r="291" x14ac:dyDescent="0.5"/>
    <row r="292" x14ac:dyDescent="0.5"/>
    <row r="293" x14ac:dyDescent="0.5"/>
    <row r="294" x14ac:dyDescent="0.5"/>
    <row r="295" x14ac:dyDescent="0.5"/>
    <row r="296" x14ac:dyDescent="0.5"/>
    <row r="297" x14ac:dyDescent="0.5"/>
    <row r="298" x14ac:dyDescent="0.5"/>
    <row r="299" x14ac:dyDescent="0.5"/>
    <row r="300" x14ac:dyDescent="0.5"/>
    <row r="301" x14ac:dyDescent="0.5"/>
    <row r="302" x14ac:dyDescent="0.5"/>
    <row r="303" x14ac:dyDescent="0.5"/>
    <row r="304" x14ac:dyDescent="0.5"/>
    <row r="305" x14ac:dyDescent="0.5"/>
    <row r="306" x14ac:dyDescent="0.5"/>
    <row r="307" x14ac:dyDescent="0.5"/>
    <row r="308" x14ac:dyDescent="0.5"/>
    <row r="309" x14ac:dyDescent="0.5"/>
    <row r="310" x14ac:dyDescent="0.5"/>
    <row r="311" x14ac:dyDescent="0.5"/>
    <row r="312" x14ac:dyDescent="0.5"/>
    <row r="313" x14ac:dyDescent="0.5"/>
    <row r="314" x14ac:dyDescent="0.5"/>
    <row r="315" x14ac:dyDescent="0.5"/>
    <row r="316" x14ac:dyDescent="0.5"/>
    <row r="317" x14ac:dyDescent="0.5"/>
    <row r="318" x14ac:dyDescent="0.5"/>
    <row r="319" x14ac:dyDescent="0.5"/>
    <row r="320" x14ac:dyDescent="0.5"/>
    <row r="321" x14ac:dyDescent="0.5"/>
    <row r="322" x14ac:dyDescent="0.5"/>
    <row r="323" x14ac:dyDescent="0.5"/>
    <row r="324" x14ac:dyDescent="0.5"/>
    <row r="325" x14ac:dyDescent="0.5"/>
    <row r="326" x14ac:dyDescent="0.5"/>
    <row r="327" x14ac:dyDescent="0.5"/>
    <row r="328" x14ac:dyDescent="0.5"/>
    <row r="329" x14ac:dyDescent="0.5"/>
    <row r="330" x14ac:dyDescent="0.5"/>
    <row r="331" x14ac:dyDescent="0.5"/>
    <row r="332" x14ac:dyDescent="0.5"/>
    <row r="333" x14ac:dyDescent="0.5"/>
    <row r="334" x14ac:dyDescent="0.5"/>
    <row r="335" x14ac:dyDescent="0.5"/>
    <row r="336" x14ac:dyDescent="0.5"/>
    <row r="337" x14ac:dyDescent="0.5"/>
    <row r="338" x14ac:dyDescent="0.5"/>
    <row r="339" x14ac:dyDescent="0.5"/>
    <row r="340" x14ac:dyDescent="0.5"/>
    <row r="341" x14ac:dyDescent="0.5"/>
    <row r="342" x14ac:dyDescent="0.5"/>
    <row r="343" x14ac:dyDescent="0.5"/>
    <row r="344" x14ac:dyDescent="0.5"/>
    <row r="345" x14ac:dyDescent="0.5"/>
    <row r="346" x14ac:dyDescent="0.5"/>
    <row r="347" x14ac:dyDescent="0.5"/>
    <row r="348" x14ac:dyDescent="0.5"/>
    <row r="349" x14ac:dyDescent="0.5"/>
    <row r="350" x14ac:dyDescent="0.5"/>
    <row r="351" x14ac:dyDescent="0.5"/>
    <row r="352" x14ac:dyDescent="0.5"/>
    <row r="353" x14ac:dyDescent="0.5"/>
    <row r="354" x14ac:dyDescent="0.5"/>
    <row r="355" x14ac:dyDescent="0.5"/>
    <row r="356" x14ac:dyDescent="0.5"/>
    <row r="357" x14ac:dyDescent="0.5"/>
    <row r="358" x14ac:dyDescent="0.5"/>
    <row r="359" x14ac:dyDescent="0.5"/>
    <row r="360" x14ac:dyDescent="0.5"/>
    <row r="361" x14ac:dyDescent="0.5"/>
    <row r="362" x14ac:dyDescent="0.5"/>
    <row r="363" x14ac:dyDescent="0.5"/>
    <row r="364" x14ac:dyDescent="0.5"/>
    <row r="365" x14ac:dyDescent="0.5"/>
    <row r="366" x14ac:dyDescent="0.5"/>
    <row r="367" x14ac:dyDescent="0.5"/>
    <row r="368" x14ac:dyDescent="0.5"/>
  </sheetData>
  <sheetProtection formatCells="0" formatRows="0" insertRows="0" deleteRows="0"/>
  <mergeCells count="100">
    <mergeCell ref="A149:C149"/>
    <mergeCell ref="A150:H150"/>
    <mergeCell ref="A151:H151"/>
    <mergeCell ref="A152:H152"/>
    <mergeCell ref="A145:C145"/>
    <mergeCell ref="D145:E145"/>
    <mergeCell ref="F145:F146"/>
    <mergeCell ref="G145:G146"/>
    <mergeCell ref="H145:H146"/>
    <mergeCell ref="A141:B141"/>
    <mergeCell ref="C141:H141"/>
    <mergeCell ref="A142:B142"/>
    <mergeCell ref="C142:H142"/>
    <mergeCell ref="A144:C144"/>
    <mergeCell ref="D144:F144"/>
    <mergeCell ref="G144:H144"/>
    <mergeCell ref="A23:C23"/>
    <mergeCell ref="A24:H24"/>
    <mergeCell ref="A25:H25"/>
    <mergeCell ref="A26:H26"/>
    <mergeCell ref="A177:H177"/>
    <mergeCell ref="A32:C32"/>
    <mergeCell ref="D32:E32"/>
    <mergeCell ref="F32:F33"/>
    <mergeCell ref="G32:G33"/>
    <mergeCell ref="H32:H33"/>
    <mergeCell ref="A50:C50"/>
    <mergeCell ref="A51:H51"/>
    <mergeCell ref="A52:H52"/>
    <mergeCell ref="A53:H53"/>
    <mergeCell ref="A56:B56"/>
    <mergeCell ref="C56:H56"/>
    <mergeCell ref="A178:H179"/>
    <mergeCell ref="A6:C6"/>
    <mergeCell ref="D6:F6"/>
    <mergeCell ref="G6:H6"/>
    <mergeCell ref="A7:C7"/>
    <mergeCell ref="D7:E7"/>
    <mergeCell ref="F7:F8"/>
    <mergeCell ref="G7:G8"/>
    <mergeCell ref="H7:H8"/>
    <mergeCell ref="A28:B28"/>
    <mergeCell ref="C28:H28"/>
    <mergeCell ref="A29:B29"/>
    <mergeCell ref="C29:H29"/>
    <mergeCell ref="A31:C31"/>
    <mergeCell ref="D31:F31"/>
    <mergeCell ref="G31:H31"/>
    <mergeCell ref="A1:H1"/>
    <mergeCell ref="A2:H2"/>
    <mergeCell ref="A3:B3"/>
    <mergeCell ref="C3:H3"/>
    <mergeCell ref="A4:B4"/>
    <mergeCell ref="C4:H4"/>
    <mergeCell ref="A57:B57"/>
    <mergeCell ref="C57:H57"/>
    <mergeCell ref="A59:C59"/>
    <mergeCell ref="D59:F59"/>
    <mergeCell ref="G59:H59"/>
    <mergeCell ref="A60:C60"/>
    <mergeCell ref="D60:E60"/>
    <mergeCell ref="F60:F61"/>
    <mergeCell ref="G60:G61"/>
    <mergeCell ref="H60:H61"/>
    <mergeCell ref="A78:C78"/>
    <mergeCell ref="A79:H79"/>
    <mergeCell ref="A80:H80"/>
    <mergeCell ref="A81:H81"/>
    <mergeCell ref="A84:B84"/>
    <mergeCell ref="C84:H84"/>
    <mergeCell ref="A85:B85"/>
    <mergeCell ref="C85:H85"/>
    <mergeCell ref="A87:C87"/>
    <mergeCell ref="D87:F87"/>
    <mergeCell ref="G87:H87"/>
    <mergeCell ref="A88:C88"/>
    <mergeCell ref="D88:E88"/>
    <mergeCell ref="F88:F89"/>
    <mergeCell ref="G88:G89"/>
    <mergeCell ref="H88:H89"/>
    <mergeCell ref="A107:C107"/>
    <mergeCell ref="A108:H108"/>
    <mergeCell ref="A109:H109"/>
    <mergeCell ref="A110:H110"/>
    <mergeCell ref="A113:B113"/>
    <mergeCell ref="C113:H113"/>
    <mergeCell ref="A114:B114"/>
    <mergeCell ref="C114:H114"/>
    <mergeCell ref="A116:C116"/>
    <mergeCell ref="D116:F116"/>
    <mergeCell ref="G116:H116"/>
    <mergeCell ref="A135:C135"/>
    <mergeCell ref="A136:H136"/>
    <mergeCell ref="A137:H137"/>
    <mergeCell ref="A138:H138"/>
    <mergeCell ref="A117:C117"/>
    <mergeCell ref="D117:E117"/>
    <mergeCell ref="F117:F118"/>
    <mergeCell ref="G117:G118"/>
    <mergeCell ref="H117:H118"/>
  </mergeCells>
  <dataValidations count="1">
    <dataValidation type="list" allowBlank="1" showInputMessage="1" showErrorMessage="1" sqref="AN8:AN9">
      <formula1>$AN$8:$AN$9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'[5]AÇÕES ESTRATÉGICAS - DESCRIÇÃO '!#REF!</xm:f>
          </x14:formula1>
          <xm:sqref>C9:C22 C34:C49 C62:C77 C90:C106 C119:C134 C147:C148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>
    <tabColor rgb="FFFFFF00"/>
  </sheetPr>
  <dimension ref="A1:AN27"/>
  <sheetViews>
    <sheetView showGridLines="0" zoomScale="80" zoomScaleNormal="80" zoomScaleSheetLayoutView="80" workbookViewId="0">
      <selection activeCell="E11" sqref="E11:E14"/>
    </sheetView>
  </sheetViews>
  <sheetFormatPr defaultColWidth="0" defaultRowHeight="25.8" zeroHeight="1" x14ac:dyDescent="0.5"/>
  <cols>
    <col min="1" max="1" width="18.44140625" style="265" customWidth="1"/>
    <col min="2" max="2" width="79.6640625" style="265" customWidth="1"/>
    <col min="3" max="3" width="22.109375" style="265" customWidth="1"/>
    <col min="4" max="5" width="18.44140625" style="265" customWidth="1"/>
    <col min="6" max="6" width="14.33203125" style="265" customWidth="1"/>
    <col min="7" max="8" width="18.109375" style="289" hidden="1" customWidth="1"/>
    <col min="9" max="9" width="10.33203125" style="265" bestFit="1" customWidth="1"/>
    <col min="10" max="40" width="0" style="266" hidden="1" customWidth="1"/>
    <col min="41" max="16384" width="36.88671875" style="266" hidden="1"/>
  </cols>
  <sheetData>
    <row r="1" spans="1:40" x14ac:dyDescent="0.5">
      <c r="A1" s="531" t="s">
        <v>559</v>
      </c>
      <c r="B1" s="532"/>
      <c r="C1" s="532"/>
      <c r="D1" s="532"/>
      <c r="E1" s="532"/>
      <c r="F1" s="532"/>
      <c r="G1" s="532"/>
      <c r="H1" s="533"/>
    </row>
    <row r="2" spans="1:40" ht="63.75" customHeight="1" x14ac:dyDescent="0.5">
      <c r="A2" s="534" t="s">
        <v>560</v>
      </c>
      <c r="B2" s="534"/>
      <c r="C2" s="534"/>
      <c r="D2" s="534"/>
      <c r="E2" s="534"/>
      <c r="F2" s="534"/>
      <c r="G2" s="534"/>
      <c r="H2" s="535"/>
    </row>
    <row r="3" spans="1:40" x14ac:dyDescent="0.5">
      <c r="A3" s="536" t="s">
        <v>561</v>
      </c>
      <c r="B3" s="537"/>
      <c r="C3" s="557" t="str">
        <f>'Quadro Geral'!C57</f>
        <v>Manutenção das atividades da gerência de atendimento</v>
      </c>
      <c r="D3" s="557"/>
      <c r="E3" s="557"/>
      <c r="F3" s="557"/>
      <c r="G3" s="557"/>
      <c r="H3" s="558"/>
      <c r="N3" s="267"/>
      <c r="O3" s="268"/>
      <c r="P3" s="268"/>
      <c r="Q3" s="268"/>
      <c r="R3" s="268"/>
      <c r="S3" s="268"/>
      <c r="T3" s="268"/>
      <c r="U3" s="268"/>
      <c r="V3" s="268"/>
      <c r="W3" s="268"/>
    </row>
    <row r="4" spans="1:40" ht="30.75" customHeight="1" x14ac:dyDescent="0.5">
      <c r="A4" s="537" t="s">
        <v>34</v>
      </c>
      <c r="B4" s="537"/>
      <c r="C4" s="557" t="str">
        <f>'Quadro Geral'!E57</f>
        <v>Assegurar a eficácia no atendimento e no relacionamento com os Arquitetos e Urbanistas e a Sociedade</v>
      </c>
      <c r="D4" s="557"/>
      <c r="E4" s="557"/>
      <c r="F4" s="557"/>
      <c r="G4" s="557"/>
      <c r="H4" s="558"/>
      <c r="V4" s="268"/>
      <c r="W4" s="268"/>
    </row>
    <row r="5" spans="1:40" s="272" customFormat="1" ht="49.5" customHeight="1" x14ac:dyDescent="0.5">
      <c r="A5" s="269"/>
      <c r="B5" s="269"/>
      <c r="C5" s="269"/>
      <c r="D5" s="270"/>
      <c r="E5" s="270"/>
      <c r="F5" s="270"/>
      <c r="G5" s="270" t="s">
        <v>155</v>
      </c>
      <c r="H5" s="270"/>
      <c r="I5" s="271"/>
      <c r="N5" s="273"/>
      <c r="O5" s="274"/>
      <c r="P5" s="274"/>
      <c r="Q5" s="274"/>
      <c r="R5" s="274"/>
      <c r="S5" s="274"/>
      <c r="T5" s="274"/>
      <c r="U5" s="274"/>
      <c r="V5" s="274"/>
      <c r="W5" s="274"/>
    </row>
    <row r="6" spans="1:40" x14ac:dyDescent="0.5">
      <c r="A6" s="540" t="s">
        <v>562</v>
      </c>
      <c r="B6" s="541"/>
      <c r="C6" s="541"/>
      <c r="D6" s="540" t="s">
        <v>563</v>
      </c>
      <c r="E6" s="541"/>
      <c r="F6" s="542"/>
      <c r="G6" s="543" t="s">
        <v>564</v>
      </c>
      <c r="H6" s="544"/>
      <c r="M6" s="274"/>
      <c r="N6" s="274"/>
      <c r="O6" s="274"/>
      <c r="P6" s="274"/>
      <c r="Q6" s="274"/>
      <c r="R6" s="274"/>
      <c r="S6" s="274"/>
      <c r="T6" s="274"/>
      <c r="U6" s="268"/>
      <c r="V6" s="268"/>
      <c r="W6" s="268"/>
    </row>
    <row r="7" spans="1:40" x14ac:dyDescent="0.5">
      <c r="A7" s="540" t="s">
        <v>565</v>
      </c>
      <c r="B7" s="541"/>
      <c r="C7" s="542"/>
      <c r="D7" s="540" t="s">
        <v>566</v>
      </c>
      <c r="E7" s="542"/>
      <c r="F7" s="545" t="s">
        <v>567</v>
      </c>
      <c r="G7" s="546" t="s">
        <v>568</v>
      </c>
      <c r="H7" s="546" t="s">
        <v>569</v>
      </c>
      <c r="M7" s="274"/>
      <c r="N7" s="274"/>
      <c r="O7" s="274"/>
      <c r="P7" s="274"/>
      <c r="Q7" s="274"/>
      <c r="R7" s="274"/>
      <c r="S7" s="274"/>
      <c r="T7" s="274"/>
      <c r="U7" s="268"/>
      <c r="V7" s="268"/>
      <c r="W7" s="268"/>
    </row>
    <row r="8" spans="1:40" ht="63" customHeight="1" x14ac:dyDescent="0.5">
      <c r="A8" s="275" t="s">
        <v>570</v>
      </c>
      <c r="B8" s="275" t="s">
        <v>571</v>
      </c>
      <c r="C8" s="276" t="s">
        <v>572</v>
      </c>
      <c r="D8" s="275" t="s">
        <v>573</v>
      </c>
      <c r="E8" s="275" t="s">
        <v>574</v>
      </c>
      <c r="F8" s="545"/>
      <c r="G8" s="547"/>
      <c r="H8" s="547"/>
      <c r="M8" s="274"/>
      <c r="N8" s="274"/>
      <c r="O8" s="274"/>
      <c r="P8" s="274"/>
      <c r="Q8" s="274"/>
      <c r="R8" s="274"/>
      <c r="S8" s="274"/>
      <c r="T8" s="274"/>
      <c r="U8" s="268"/>
      <c r="V8" s="268"/>
      <c r="W8" s="268"/>
      <c r="AN8" s="266" t="s">
        <v>72</v>
      </c>
    </row>
    <row r="9" spans="1:40" ht="32.25" customHeight="1" x14ac:dyDescent="0.5">
      <c r="A9" s="12"/>
      <c r="B9" s="257" t="s">
        <v>588</v>
      </c>
      <c r="C9" s="12"/>
      <c r="D9" s="13">
        <v>974735.37000000011</v>
      </c>
      <c r="E9" s="320">
        <v>1093640.76</v>
      </c>
      <c r="F9" s="277">
        <f t="shared" ref="F9:F15" si="0">IFERROR(E9/D9*100-100,)</f>
        <v>12.198735539882975</v>
      </c>
      <c r="G9" s="13"/>
      <c r="H9" s="278">
        <f t="shared" ref="H9:H15" si="1">IFERROR(G9/E9*100,)</f>
        <v>0</v>
      </c>
      <c r="M9" s="274"/>
      <c r="N9" s="267"/>
      <c r="O9" s="268"/>
      <c r="P9" s="268"/>
      <c r="Q9" s="268"/>
      <c r="R9" s="268"/>
      <c r="S9" s="268"/>
      <c r="T9" s="268"/>
      <c r="U9" s="268"/>
      <c r="V9" s="268"/>
      <c r="W9" s="268"/>
      <c r="AN9" s="266" t="s">
        <v>575</v>
      </c>
    </row>
    <row r="10" spans="1:40" ht="32.25" customHeight="1" x14ac:dyDescent="0.5">
      <c r="A10" s="12"/>
      <c r="B10" s="306" t="s">
        <v>589</v>
      </c>
      <c r="C10" s="12"/>
      <c r="D10" s="13">
        <v>224837.01</v>
      </c>
      <c r="E10" s="320">
        <v>266064.84000000003</v>
      </c>
      <c r="F10" s="277">
        <f t="shared" si="0"/>
        <v>18.336763151226762</v>
      </c>
      <c r="G10" s="13"/>
      <c r="H10" s="278">
        <f t="shared" si="1"/>
        <v>0</v>
      </c>
      <c r="N10" s="267"/>
      <c r="O10" s="268"/>
      <c r="P10" s="268"/>
      <c r="Q10" s="268"/>
      <c r="R10" s="268"/>
      <c r="S10" s="268"/>
      <c r="T10" s="268"/>
      <c r="U10" s="268"/>
      <c r="V10" s="268"/>
      <c r="W10" s="268"/>
      <c r="AN10" s="266" t="s">
        <v>576</v>
      </c>
    </row>
    <row r="11" spans="1:40" ht="32.25" customHeight="1" x14ac:dyDescent="0.5">
      <c r="A11" s="12"/>
      <c r="B11" s="257" t="s">
        <v>590</v>
      </c>
      <c r="C11" s="12"/>
      <c r="D11" s="13">
        <v>15979.796799999998</v>
      </c>
      <c r="E11" s="13">
        <f>65320.9/2</f>
        <v>32660.45</v>
      </c>
      <c r="F11" s="277">
        <f t="shared" si="0"/>
        <v>104.3858905640152</v>
      </c>
      <c r="G11" s="13"/>
      <c r="H11" s="278">
        <f t="shared" si="1"/>
        <v>0</v>
      </c>
      <c r="N11" s="267"/>
      <c r="O11" s="268"/>
      <c r="P11" s="268"/>
      <c r="Q11" s="268"/>
      <c r="R11" s="268"/>
      <c r="S11" s="268"/>
      <c r="T11" s="268"/>
      <c r="U11" s="268"/>
      <c r="V11" s="268"/>
      <c r="W11" s="268"/>
    </row>
    <row r="12" spans="1:40" ht="32.25" customHeight="1" x14ac:dyDescent="0.5">
      <c r="A12" s="12"/>
      <c r="B12" s="12" t="s">
        <v>591</v>
      </c>
      <c r="C12" s="12"/>
      <c r="D12" s="13">
        <v>0</v>
      </c>
      <c r="E12" s="13">
        <v>164390</v>
      </c>
      <c r="F12" s="277">
        <f t="shared" si="0"/>
        <v>0</v>
      </c>
      <c r="G12" s="13"/>
      <c r="H12" s="278">
        <f t="shared" si="1"/>
        <v>0</v>
      </c>
      <c r="N12" s="267"/>
      <c r="O12" s="268"/>
      <c r="P12" s="268"/>
      <c r="Q12" s="268"/>
      <c r="R12" s="268"/>
      <c r="S12" s="268"/>
      <c r="T12" s="268"/>
      <c r="U12" s="268"/>
      <c r="V12" s="268"/>
      <c r="W12" s="268"/>
    </row>
    <row r="13" spans="1:40" ht="32.25" customHeight="1" x14ac:dyDescent="0.5">
      <c r="A13" s="12"/>
      <c r="B13" s="305" t="s">
        <v>592</v>
      </c>
      <c r="C13" s="12"/>
      <c r="D13" s="13">
        <v>0</v>
      </c>
      <c r="E13" s="13">
        <v>4200</v>
      </c>
      <c r="F13" s="277">
        <f t="shared" si="0"/>
        <v>0</v>
      </c>
      <c r="G13" s="13"/>
      <c r="H13" s="278">
        <f t="shared" si="1"/>
        <v>0</v>
      </c>
      <c r="N13" s="268"/>
      <c r="O13" s="268"/>
      <c r="P13" s="268"/>
      <c r="Q13" s="268"/>
      <c r="R13" s="268"/>
      <c r="S13" s="268"/>
      <c r="T13" s="268"/>
      <c r="U13" s="268"/>
      <c r="V13" s="268"/>
      <c r="W13" s="268"/>
    </row>
    <row r="14" spans="1:40" ht="32.25" customHeight="1" x14ac:dyDescent="0.5">
      <c r="A14" s="12"/>
      <c r="B14" s="307" t="s">
        <v>593</v>
      </c>
      <c r="C14" s="12"/>
      <c r="D14" s="13">
        <v>0</v>
      </c>
      <c r="E14" s="13">
        <v>2000</v>
      </c>
      <c r="F14" s="277">
        <f t="shared" si="0"/>
        <v>0</v>
      </c>
      <c r="G14" s="13"/>
      <c r="H14" s="278">
        <f t="shared" si="1"/>
        <v>0</v>
      </c>
      <c r="N14" s="279"/>
    </row>
    <row r="15" spans="1:40" s="284" customFormat="1" x14ac:dyDescent="0.3">
      <c r="A15" s="552" t="s">
        <v>0</v>
      </c>
      <c r="B15" s="552"/>
      <c r="C15" s="552"/>
      <c r="D15" s="280">
        <f>SUM(D9:D14)</f>
        <v>1215552.1768</v>
      </c>
      <c r="E15" s="280">
        <f>SUM(E9:E14)</f>
        <v>1562956.05</v>
      </c>
      <c r="F15" s="281">
        <f t="shared" si="0"/>
        <v>28.579922756961167</v>
      </c>
      <c r="G15" s="280">
        <f>SUM(G9:G14)</f>
        <v>0</v>
      </c>
      <c r="H15" s="282">
        <f t="shared" si="1"/>
        <v>0</v>
      </c>
      <c r="I15" s="283"/>
    </row>
    <row r="16" spans="1:40" x14ac:dyDescent="0.5">
      <c r="A16" s="553"/>
      <c r="B16" s="553"/>
      <c r="C16" s="553"/>
      <c r="D16" s="553"/>
      <c r="E16" s="553"/>
      <c r="F16" s="553"/>
      <c r="G16" s="553"/>
      <c r="H16" s="553"/>
    </row>
    <row r="17" spans="1:12" x14ac:dyDescent="0.5">
      <c r="A17" s="554" t="s">
        <v>227</v>
      </c>
      <c r="B17" s="555"/>
      <c r="C17" s="555"/>
      <c r="D17" s="555"/>
      <c r="E17" s="555"/>
      <c r="F17" s="555"/>
      <c r="G17" s="555"/>
      <c r="H17" s="556"/>
      <c r="J17" s="285"/>
    </row>
    <row r="18" spans="1:12" x14ac:dyDescent="0.5">
      <c r="A18" s="549"/>
      <c r="B18" s="550"/>
      <c r="C18" s="550"/>
      <c r="D18" s="550"/>
      <c r="E18" s="550"/>
      <c r="F18" s="550"/>
      <c r="G18" s="550"/>
      <c r="H18" s="551"/>
    </row>
    <row r="19" spans="1:12" x14ac:dyDescent="0.5">
      <c r="A19" s="286"/>
      <c r="B19" s="286"/>
      <c r="C19" s="286"/>
      <c r="D19" s="286"/>
      <c r="E19" s="286"/>
      <c r="F19" s="286"/>
      <c r="G19" s="286"/>
      <c r="H19" s="286"/>
    </row>
    <row r="20" spans="1:12" x14ac:dyDescent="0.5">
      <c r="A20" s="554" t="s">
        <v>577</v>
      </c>
      <c r="B20" s="555"/>
      <c r="C20" s="555"/>
      <c r="D20" s="555"/>
      <c r="E20" s="555"/>
      <c r="F20" s="555"/>
      <c r="G20" s="555"/>
      <c r="H20" s="556"/>
      <c r="I20" s="287"/>
      <c r="J20" s="288"/>
      <c r="K20" s="288"/>
      <c r="L20" s="272"/>
    </row>
    <row r="21" spans="1:12" ht="129" customHeight="1" x14ac:dyDescent="0.5">
      <c r="A21" s="548" t="s">
        <v>578</v>
      </c>
      <c r="B21" s="548"/>
      <c r="C21" s="548"/>
      <c r="D21" s="548"/>
      <c r="E21" s="548"/>
      <c r="F21" s="548"/>
      <c r="G21" s="548"/>
      <c r="H21" s="548"/>
    </row>
    <row r="22" spans="1:12" ht="181.5" customHeight="1" x14ac:dyDescent="0.5">
      <c r="A22" s="548"/>
      <c r="B22" s="548"/>
      <c r="C22" s="548"/>
      <c r="D22" s="548"/>
      <c r="E22" s="548"/>
      <c r="F22" s="548"/>
      <c r="G22" s="548"/>
      <c r="H22" s="548"/>
    </row>
    <row r="23" spans="1:12" x14ac:dyDescent="0.5"/>
    <row r="24" spans="1:12" x14ac:dyDescent="0.5"/>
    <row r="25" spans="1:12" x14ac:dyDescent="0.5"/>
    <row r="26" spans="1:12" x14ac:dyDescent="0.5"/>
    <row r="27" spans="1:12" x14ac:dyDescent="0.5"/>
  </sheetData>
  <sheetProtection formatCells="0" formatRows="0" insertRows="0" deleteRows="0"/>
  <mergeCells count="20">
    <mergeCell ref="A21:H22"/>
    <mergeCell ref="A6:C6"/>
    <mergeCell ref="D6:F6"/>
    <mergeCell ref="G6:H6"/>
    <mergeCell ref="A7:C7"/>
    <mergeCell ref="D7:E7"/>
    <mergeCell ref="F7:F8"/>
    <mergeCell ref="G7:G8"/>
    <mergeCell ref="H7:H8"/>
    <mergeCell ref="A15:C15"/>
    <mergeCell ref="A16:H16"/>
    <mergeCell ref="A17:H17"/>
    <mergeCell ref="A18:H18"/>
    <mergeCell ref="A20:H20"/>
    <mergeCell ref="A1:H1"/>
    <mergeCell ref="A2:H2"/>
    <mergeCell ref="A3:B3"/>
    <mergeCell ref="C3:H3"/>
    <mergeCell ref="A4:B4"/>
    <mergeCell ref="C4:H4"/>
  </mergeCells>
  <dataValidations count="1">
    <dataValidation type="list" allowBlank="1" showInputMessage="1" showErrorMessage="1" sqref="AN8:AN9">
      <formula1>$AN$8:$AN$9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'[5]AÇÕES ESTRATÉGICAS - DESCRIÇÃO '!#REF!</xm:f>
          </x14:formula1>
          <xm:sqref>C9:C14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rgb="FFFFFF00"/>
  </sheetPr>
  <dimension ref="A1:AN33"/>
  <sheetViews>
    <sheetView showGridLines="0" zoomScale="80" zoomScaleNormal="80" zoomScaleSheetLayoutView="80" workbookViewId="0">
      <selection activeCell="D17" sqref="D17:D18"/>
    </sheetView>
  </sheetViews>
  <sheetFormatPr defaultColWidth="0" defaultRowHeight="25.8" zeroHeight="1" x14ac:dyDescent="0.5"/>
  <cols>
    <col min="1" max="1" width="18.44140625" style="265" customWidth="1"/>
    <col min="2" max="2" width="79.6640625" style="265" customWidth="1"/>
    <col min="3" max="3" width="22.109375" style="265" customWidth="1"/>
    <col min="4" max="4" width="25.5546875" style="265" customWidth="1"/>
    <col min="5" max="5" width="18.44140625" style="265" customWidth="1"/>
    <col min="6" max="6" width="14.33203125" style="265" customWidth="1"/>
    <col min="7" max="8" width="18.109375" style="289" hidden="1" customWidth="1"/>
    <col min="9" max="9" width="10.33203125" style="265" bestFit="1" customWidth="1"/>
    <col min="10" max="40" width="0" style="266" hidden="1" customWidth="1"/>
    <col min="41" max="16384" width="36.88671875" style="266" hidden="1"/>
  </cols>
  <sheetData>
    <row r="1" spans="1:40" x14ac:dyDescent="0.5">
      <c r="A1" s="531" t="s">
        <v>559</v>
      </c>
      <c r="B1" s="532"/>
      <c r="C1" s="532"/>
      <c r="D1" s="532"/>
      <c r="E1" s="532"/>
      <c r="F1" s="532"/>
      <c r="G1" s="532"/>
      <c r="H1" s="533"/>
    </row>
    <row r="2" spans="1:40" ht="63.75" customHeight="1" x14ac:dyDescent="0.5">
      <c r="A2" s="534" t="s">
        <v>560</v>
      </c>
      <c r="B2" s="534"/>
      <c r="C2" s="534"/>
      <c r="D2" s="534"/>
      <c r="E2" s="534"/>
      <c r="F2" s="534"/>
      <c r="G2" s="534"/>
      <c r="H2" s="535"/>
    </row>
    <row r="3" spans="1:40" x14ac:dyDescent="0.5">
      <c r="A3" s="536" t="s">
        <v>561</v>
      </c>
      <c r="B3" s="537"/>
      <c r="C3" s="557" t="str">
        <f>'Quadro Geral'!C58</f>
        <v>Manutenção das atividades da gerência financeira</v>
      </c>
      <c r="D3" s="557"/>
      <c r="E3" s="557"/>
      <c r="F3" s="557"/>
      <c r="G3" s="557"/>
      <c r="H3" s="558"/>
      <c r="N3" s="267"/>
      <c r="O3" s="268"/>
      <c r="P3" s="268"/>
      <c r="Q3" s="268"/>
      <c r="R3" s="268"/>
      <c r="S3" s="268"/>
      <c r="T3" s="268"/>
      <c r="U3" s="268"/>
      <c r="V3" s="268"/>
      <c r="W3" s="268"/>
    </row>
    <row r="4" spans="1:40" ht="30.75" customHeight="1" x14ac:dyDescent="0.5">
      <c r="A4" s="537" t="s">
        <v>34</v>
      </c>
      <c r="B4" s="537"/>
      <c r="C4" s="557" t="str">
        <f>'Quadro Geral'!E58</f>
        <v>Assegurar a sustentabilidade financeira</v>
      </c>
      <c r="D4" s="557"/>
      <c r="E4" s="557"/>
      <c r="F4" s="557"/>
      <c r="G4" s="557"/>
      <c r="H4" s="558"/>
      <c r="V4" s="268"/>
      <c r="W4" s="268"/>
    </row>
    <row r="5" spans="1:40" s="272" customFormat="1" ht="49.5" customHeight="1" x14ac:dyDescent="0.5">
      <c r="A5" s="269"/>
      <c r="B5" s="269"/>
      <c r="C5" s="269"/>
      <c r="D5" s="270"/>
      <c r="E5" s="270"/>
      <c r="F5" s="270"/>
      <c r="G5" s="270" t="s">
        <v>155</v>
      </c>
      <c r="H5" s="270"/>
      <c r="I5" s="271"/>
      <c r="N5" s="273"/>
      <c r="O5" s="274"/>
      <c r="P5" s="274"/>
      <c r="Q5" s="274"/>
      <c r="R5" s="274"/>
      <c r="S5" s="274"/>
      <c r="T5" s="274"/>
      <c r="U5" s="274"/>
      <c r="V5" s="274"/>
      <c r="W5" s="274"/>
    </row>
    <row r="6" spans="1:40" x14ac:dyDescent="0.5">
      <c r="A6" s="540" t="s">
        <v>562</v>
      </c>
      <c r="B6" s="541"/>
      <c r="C6" s="541"/>
      <c r="D6" s="540" t="s">
        <v>563</v>
      </c>
      <c r="E6" s="541"/>
      <c r="F6" s="542"/>
      <c r="G6" s="543" t="s">
        <v>564</v>
      </c>
      <c r="H6" s="544"/>
      <c r="M6" s="274"/>
      <c r="N6" s="274"/>
      <c r="O6" s="274"/>
      <c r="P6" s="274"/>
      <c r="Q6" s="274"/>
      <c r="R6" s="274"/>
      <c r="S6" s="274"/>
      <c r="T6" s="274"/>
      <c r="U6" s="268"/>
      <c r="V6" s="268"/>
      <c r="W6" s="268"/>
    </row>
    <row r="7" spans="1:40" x14ac:dyDescent="0.5">
      <c r="A7" s="540" t="s">
        <v>565</v>
      </c>
      <c r="B7" s="541"/>
      <c r="C7" s="542"/>
      <c r="D7" s="540" t="s">
        <v>566</v>
      </c>
      <c r="E7" s="542"/>
      <c r="F7" s="545" t="s">
        <v>567</v>
      </c>
      <c r="G7" s="546" t="s">
        <v>568</v>
      </c>
      <c r="H7" s="546" t="s">
        <v>569</v>
      </c>
      <c r="M7" s="274"/>
      <c r="N7" s="274"/>
      <c r="O7" s="274"/>
      <c r="P7" s="274"/>
      <c r="Q7" s="274"/>
      <c r="R7" s="274"/>
      <c r="S7" s="274"/>
      <c r="T7" s="274"/>
      <c r="U7" s="268"/>
      <c r="V7" s="268"/>
      <c r="W7" s="268"/>
    </row>
    <row r="8" spans="1:40" ht="63" customHeight="1" x14ac:dyDescent="0.5">
      <c r="A8" s="275" t="s">
        <v>570</v>
      </c>
      <c r="B8" s="275" t="s">
        <v>571</v>
      </c>
      <c r="C8" s="276" t="s">
        <v>572</v>
      </c>
      <c r="D8" s="275" t="s">
        <v>573</v>
      </c>
      <c r="E8" s="275" t="s">
        <v>574</v>
      </c>
      <c r="F8" s="545"/>
      <c r="G8" s="547"/>
      <c r="H8" s="547"/>
      <c r="M8" s="274"/>
      <c r="N8" s="274"/>
      <c r="O8" s="274"/>
      <c r="P8" s="274"/>
      <c r="Q8" s="274"/>
      <c r="R8" s="274"/>
      <c r="S8" s="274"/>
      <c r="T8" s="274"/>
      <c r="U8" s="268"/>
      <c r="V8" s="268"/>
      <c r="W8" s="268"/>
      <c r="AN8" s="266" t="s">
        <v>72</v>
      </c>
    </row>
    <row r="9" spans="1:40" ht="32.25" customHeight="1" x14ac:dyDescent="0.5">
      <c r="A9" s="12"/>
      <c r="B9" s="297" t="s">
        <v>723</v>
      </c>
      <c r="C9" s="12"/>
      <c r="D9" s="13">
        <v>1500</v>
      </c>
      <c r="E9" s="13">
        <v>0</v>
      </c>
      <c r="F9" s="277">
        <f t="shared" ref="F9:F20" si="0">IFERROR(E9/D9*100-100,)</f>
        <v>-100</v>
      </c>
      <c r="G9" s="13"/>
      <c r="H9" s="278">
        <f t="shared" ref="H9:H20" si="1">IFERROR(G9/E9*100,)</f>
        <v>0</v>
      </c>
      <c r="M9" s="274"/>
      <c r="N9" s="267"/>
      <c r="O9" s="268"/>
      <c r="P9" s="268"/>
      <c r="Q9" s="268"/>
      <c r="R9" s="268"/>
      <c r="S9" s="268"/>
      <c r="T9" s="268"/>
      <c r="U9" s="268"/>
      <c r="V9" s="268"/>
      <c r="W9" s="268"/>
      <c r="AN9" s="266" t="s">
        <v>575</v>
      </c>
    </row>
    <row r="10" spans="1:40" ht="32.25" customHeight="1" x14ac:dyDescent="0.5">
      <c r="A10" s="12"/>
      <c r="B10" s="297" t="s">
        <v>724</v>
      </c>
      <c r="C10" s="12"/>
      <c r="D10" s="13">
        <v>7766.24</v>
      </c>
      <c r="E10" s="13">
        <v>0</v>
      </c>
      <c r="F10" s="277">
        <f t="shared" si="0"/>
        <v>-100</v>
      </c>
      <c r="G10" s="13"/>
      <c r="H10" s="278">
        <f t="shared" si="1"/>
        <v>0</v>
      </c>
      <c r="N10" s="267"/>
      <c r="O10" s="268"/>
      <c r="P10" s="268"/>
      <c r="Q10" s="268"/>
      <c r="R10" s="268"/>
      <c r="S10" s="268"/>
      <c r="T10" s="268"/>
      <c r="U10" s="268"/>
      <c r="V10" s="268"/>
      <c r="W10" s="268"/>
      <c r="AN10" s="266" t="s">
        <v>576</v>
      </c>
    </row>
    <row r="11" spans="1:40" s="333" customFormat="1" ht="32.25" customHeight="1" x14ac:dyDescent="0.5">
      <c r="A11" s="319"/>
      <c r="B11" s="297" t="s">
        <v>725</v>
      </c>
      <c r="C11" s="319"/>
      <c r="D11" s="13">
        <v>329996</v>
      </c>
      <c r="E11" s="13">
        <v>0</v>
      </c>
      <c r="F11" s="277"/>
      <c r="G11" s="13"/>
      <c r="H11" s="278"/>
      <c r="I11" s="265"/>
      <c r="N11" s="335"/>
      <c r="O11" s="334"/>
      <c r="P11" s="334"/>
      <c r="Q11" s="334"/>
      <c r="R11" s="334"/>
      <c r="S11" s="334"/>
      <c r="T11" s="334"/>
      <c r="U11" s="334"/>
      <c r="V11" s="334"/>
      <c r="W11" s="334"/>
    </row>
    <row r="12" spans="1:40" s="333" customFormat="1" ht="32.25" customHeight="1" x14ac:dyDescent="0.5">
      <c r="A12" s="319"/>
      <c r="B12" s="297" t="s">
        <v>632</v>
      </c>
      <c r="C12" s="319"/>
      <c r="D12" s="13">
        <v>15000</v>
      </c>
      <c r="E12" s="13">
        <v>0</v>
      </c>
      <c r="F12" s="277"/>
      <c r="G12" s="13"/>
      <c r="H12" s="278"/>
      <c r="I12" s="265"/>
      <c r="N12" s="335"/>
      <c r="O12" s="334"/>
      <c r="P12" s="334"/>
      <c r="Q12" s="334"/>
      <c r="R12" s="334"/>
      <c r="S12" s="334"/>
      <c r="T12" s="334"/>
      <c r="U12" s="334"/>
      <c r="V12" s="334"/>
      <c r="W12" s="334"/>
    </row>
    <row r="13" spans="1:40" s="333" customFormat="1" ht="32.25" customHeight="1" x14ac:dyDescent="0.5">
      <c r="A13" s="319"/>
      <c r="B13" s="297" t="s">
        <v>726</v>
      </c>
      <c r="C13" s="319"/>
      <c r="D13" s="13">
        <v>2200</v>
      </c>
      <c r="E13" s="13">
        <v>0</v>
      </c>
      <c r="F13" s="277"/>
      <c r="G13" s="13"/>
      <c r="H13" s="278"/>
      <c r="I13" s="265"/>
      <c r="N13" s="335"/>
      <c r="O13" s="334"/>
      <c r="P13" s="334"/>
      <c r="Q13" s="334"/>
      <c r="R13" s="334"/>
      <c r="S13" s="334"/>
      <c r="T13" s="334"/>
      <c r="U13" s="334"/>
      <c r="V13" s="334"/>
      <c r="W13" s="334"/>
    </row>
    <row r="14" spans="1:40" s="333" customFormat="1" ht="32.25" customHeight="1" x14ac:dyDescent="0.5">
      <c r="A14" s="319"/>
      <c r="B14" s="319" t="s">
        <v>630</v>
      </c>
      <c r="C14" s="319"/>
      <c r="D14" s="13">
        <v>7611.11</v>
      </c>
      <c r="E14" s="13">
        <v>0</v>
      </c>
      <c r="F14" s="277"/>
      <c r="G14" s="13"/>
      <c r="H14" s="278"/>
      <c r="I14" s="265"/>
      <c r="N14" s="335"/>
      <c r="O14" s="334"/>
      <c r="P14" s="334"/>
      <c r="Q14" s="334"/>
      <c r="R14" s="334"/>
      <c r="S14" s="334"/>
      <c r="T14" s="334"/>
      <c r="U14" s="334"/>
      <c r="V14" s="334"/>
      <c r="W14" s="334"/>
    </row>
    <row r="15" spans="1:40" s="333" customFormat="1" ht="32.25" customHeight="1" x14ac:dyDescent="0.5">
      <c r="A15" s="319"/>
      <c r="B15" s="319" t="s">
        <v>727</v>
      </c>
      <c r="C15" s="319"/>
      <c r="D15" s="13">
        <v>0</v>
      </c>
      <c r="E15" s="13">
        <v>0</v>
      </c>
      <c r="F15" s="277"/>
      <c r="G15" s="13"/>
      <c r="H15" s="278"/>
      <c r="I15" s="265"/>
      <c r="N15" s="335"/>
      <c r="O15" s="334"/>
      <c r="P15" s="334"/>
      <c r="Q15" s="334"/>
      <c r="R15" s="334"/>
      <c r="S15" s="334"/>
      <c r="T15" s="334"/>
      <c r="U15" s="334"/>
      <c r="V15" s="334"/>
      <c r="W15" s="334"/>
    </row>
    <row r="16" spans="1:40" s="333" customFormat="1" ht="32.25" customHeight="1" x14ac:dyDescent="0.5">
      <c r="A16" s="319"/>
      <c r="B16" s="319" t="s">
        <v>590</v>
      </c>
      <c r="C16" s="319"/>
      <c r="D16" s="13">
        <v>25131.120000000003</v>
      </c>
      <c r="E16" s="13">
        <v>0</v>
      </c>
      <c r="F16" s="277"/>
      <c r="G16" s="13"/>
      <c r="H16" s="278"/>
      <c r="I16" s="265"/>
      <c r="N16" s="335"/>
      <c r="O16" s="334"/>
      <c r="P16" s="334"/>
      <c r="Q16" s="334"/>
      <c r="R16" s="334"/>
      <c r="S16" s="334"/>
      <c r="T16" s="334"/>
      <c r="U16" s="334"/>
      <c r="V16" s="334"/>
      <c r="W16" s="334"/>
    </row>
    <row r="17" spans="1:23" ht="32.25" customHeight="1" x14ac:dyDescent="0.5">
      <c r="A17" s="12"/>
      <c r="B17" s="297" t="s">
        <v>620</v>
      </c>
      <c r="C17" s="12"/>
      <c r="D17" s="320">
        <v>652383.83000000007</v>
      </c>
      <c r="E17" s="13">
        <v>0</v>
      </c>
      <c r="F17" s="277">
        <f t="shared" si="0"/>
        <v>-100</v>
      </c>
      <c r="G17" s="13"/>
      <c r="H17" s="278">
        <f t="shared" si="1"/>
        <v>0</v>
      </c>
      <c r="N17" s="267"/>
      <c r="O17" s="268"/>
      <c r="P17" s="268"/>
      <c r="Q17" s="268"/>
      <c r="R17" s="268"/>
      <c r="S17" s="268"/>
      <c r="T17" s="268"/>
      <c r="U17" s="268"/>
      <c r="V17" s="268"/>
      <c r="W17" s="268"/>
    </row>
    <row r="18" spans="1:23" ht="32.25" customHeight="1" x14ac:dyDescent="0.5">
      <c r="A18" s="12"/>
      <c r="B18" s="296" t="s">
        <v>621</v>
      </c>
      <c r="C18" s="12"/>
      <c r="D18" s="320">
        <v>108925.35</v>
      </c>
      <c r="E18" s="13">
        <v>0</v>
      </c>
      <c r="F18" s="277">
        <f t="shared" si="0"/>
        <v>-100</v>
      </c>
      <c r="G18" s="13"/>
      <c r="H18" s="278">
        <f t="shared" si="1"/>
        <v>0</v>
      </c>
      <c r="N18" s="267"/>
      <c r="O18" s="268"/>
      <c r="P18" s="268"/>
      <c r="Q18" s="268"/>
      <c r="R18" s="268"/>
      <c r="S18" s="268"/>
      <c r="T18" s="268"/>
      <c r="U18" s="268"/>
      <c r="V18" s="268"/>
      <c r="W18" s="268"/>
    </row>
    <row r="19" spans="1:23" ht="32.25" customHeight="1" x14ac:dyDescent="0.5">
      <c r="A19" s="12"/>
      <c r="B19" s="297" t="s">
        <v>694</v>
      </c>
      <c r="C19" s="12"/>
      <c r="D19" s="13">
        <v>20000</v>
      </c>
      <c r="E19" s="13">
        <v>0</v>
      </c>
      <c r="F19" s="277">
        <f t="shared" si="0"/>
        <v>-100</v>
      </c>
      <c r="G19" s="13"/>
      <c r="H19" s="278">
        <f t="shared" si="1"/>
        <v>0</v>
      </c>
      <c r="N19" s="268"/>
      <c r="O19" s="268"/>
      <c r="P19" s="268"/>
      <c r="Q19" s="268"/>
      <c r="R19" s="268"/>
      <c r="S19" s="268"/>
      <c r="T19" s="268"/>
      <c r="U19" s="268"/>
      <c r="V19" s="268"/>
      <c r="W19" s="268"/>
    </row>
    <row r="20" spans="1:23" s="284" customFormat="1" x14ac:dyDescent="0.3">
      <c r="A20" s="552" t="s">
        <v>0</v>
      </c>
      <c r="B20" s="552"/>
      <c r="C20" s="552"/>
      <c r="D20" s="280">
        <f>SUM(D9:D19)</f>
        <v>1170513.6500000001</v>
      </c>
      <c r="E20" s="280">
        <f>SUM(E9:E19)</f>
        <v>0</v>
      </c>
      <c r="F20" s="281">
        <f t="shared" si="0"/>
        <v>-100</v>
      </c>
      <c r="G20" s="280">
        <f>SUM(G9:G19)</f>
        <v>0</v>
      </c>
      <c r="H20" s="282">
        <f t="shared" si="1"/>
        <v>0</v>
      </c>
      <c r="I20" s="283"/>
    </row>
    <row r="21" spans="1:23" x14ac:dyDescent="0.5">
      <c r="A21" s="553"/>
      <c r="B21" s="553"/>
      <c r="C21" s="553"/>
      <c r="D21" s="553"/>
      <c r="E21" s="553"/>
      <c r="F21" s="553"/>
      <c r="G21" s="553"/>
      <c r="H21" s="553"/>
    </row>
    <row r="22" spans="1:23" x14ac:dyDescent="0.5">
      <c r="A22" s="554" t="s">
        <v>227</v>
      </c>
      <c r="B22" s="555"/>
      <c r="C22" s="555"/>
      <c r="D22" s="555"/>
      <c r="E22" s="555"/>
      <c r="F22" s="555"/>
      <c r="G22" s="555"/>
      <c r="H22" s="556"/>
      <c r="J22" s="285"/>
    </row>
    <row r="23" spans="1:23" x14ac:dyDescent="0.5">
      <c r="A23" s="549"/>
      <c r="B23" s="550"/>
      <c r="C23" s="550"/>
      <c r="D23" s="550"/>
      <c r="E23" s="550"/>
      <c r="F23" s="550"/>
      <c r="G23" s="550"/>
      <c r="H23" s="551"/>
    </row>
    <row r="24" spans="1:23" x14ac:dyDescent="0.5">
      <c r="A24" s="286"/>
      <c r="B24" s="286"/>
      <c r="C24" s="286"/>
      <c r="D24" s="286"/>
      <c r="E24" s="286"/>
      <c r="F24" s="286"/>
      <c r="G24" s="286"/>
      <c r="H24" s="286"/>
    </row>
    <row r="25" spans="1:23" x14ac:dyDescent="0.5">
      <c r="A25" s="554" t="s">
        <v>577</v>
      </c>
      <c r="B25" s="555"/>
      <c r="C25" s="555"/>
      <c r="D25" s="555"/>
      <c r="E25" s="555"/>
      <c r="F25" s="555"/>
      <c r="G25" s="555"/>
      <c r="H25" s="556"/>
      <c r="I25" s="287"/>
      <c r="J25" s="288"/>
      <c r="K25" s="288"/>
      <c r="L25" s="272"/>
    </row>
    <row r="26" spans="1:23" ht="129" customHeight="1" x14ac:dyDescent="0.5">
      <c r="A26" s="548" t="s">
        <v>578</v>
      </c>
      <c r="B26" s="548"/>
      <c r="C26" s="548"/>
      <c r="D26" s="548"/>
      <c r="E26" s="548"/>
      <c r="F26" s="548"/>
      <c r="G26" s="548"/>
      <c r="H26" s="548"/>
    </row>
    <row r="27" spans="1:23" ht="181.5" customHeight="1" x14ac:dyDescent="0.5">
      <c r="A27" s="548"/>
      <c r="B27" s="548"/>
      <c r="C27" s="548"/>
      <c r="D27" s="548"/>
      <c r="E27" s="548"/>
      <c r="F27" s="548"/>
      <c r="G27" s="548"/>
      <c r="H27" s="548"/>
    </row>
    <row r="28" spans="1:23" x14ac:dyDescent="0.5"/>
    <row r="29" spans="1:23" x14ac:dyDescent="0.5"/>
    <row r="30" spans="1:23" x14ac:dyDescent="0.5"/>
    <row r="31" spans="1:23" x14ac:dyDescent="0.5"/>
    <row r="32" spans="1:23" x14ac:dyDescent="0.5"/>
    <row r="33" x14ac:dyDescent="0.5"/>
  </sheetData>
  <sheetProtection formatCells="0" formatRows="0" insertRows="0" deleteRows="0"/>
  <mergeCells count="20">
    <mergeCell ref="A26:H27"/>
    <mergeCell ref="A6:C6"/>
    <mergeCell ref="D6:F6"/>
    <mergeCell ref="G6:H6"/>
    <mergeCell ref="A7:C7"/>
    <mergeCell ref="D7:E7"/>
    <mergeCell ref="F7:F8"/>
    <mergeCell ref="G7:G8"/>
    <mergeCell ref="H7:H8"/>
    <mergeCell ref="A20:C20"/>
    <mergeCell ref="A21:H21"/>
    <mergeCell ref="A22:H22"/>
    <mergeCell ref="A23:H23"/>
    <mergeCell ref="A25:H25"/>
    <mergeCell ref="A1:H1"/>
    <mergeCell ref="A2:H2"/>
    <mergeCell ref="A3:B3"/>
    <mergeCell ref="C3:H3"/>
    <mergeCell ref="A4:B4"/>
    <mergeCell ref="C4:H4"/>
  </mergeCells>
  <dataValidations count="1">
    <dataValidation type="list" allowBlank="1" showInputMessage="1" showErrorMessage="1" sqref="AN8:AN9">
      <formula1>$AN$8:$AN$9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'[5]AÇÕES ESTRATÉGICAS - DESCRIÇÃO '!#REF!</xm:f>
          </x14:formula1>
          <xm:sqref>C9:C19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4">
    <tabColor rgb="FFFFFF00"/>
  </sheetPr>
  <dimension ref="A1:AN27"/>
  <sheetViews>
    <sheetView showGridLines="0" topLeftCell="A4" zoomScale="80" zoomScaleNormal="80" zoomScaleSheetLayoutView="80" workbookViewId="0">
      <selection activeCell="E13" sqref="E13"/>
    </sheetView>
  </sheetViews>
  <sheetFormatPr defaultColWidth="0" defaultRowHeight="25.8" zeroHeight="1" x14ac:dyDescent="0.5"/>
  <cols>
    <col min="1" max="1" width="18.44140625" style="265" customWidth="1"/>
    <col min="2" max="2" width="79.6640625" style="265" customWidth="1"/>
    <col min="3" max="3" width="22.109375" style="265" customWidth="1"/>
    <col min="4" max="4" width="18.44140625" style="265" customWidth="1"/>
    <col min="5" max="5" width="24.44140625" style="265" customWidth="1"/>
    <col min="6" max="6" width="14.33203125" style="265" customWidth="1"/>
    <col min="7" max="8" width="18.109375" style="289" hidden="1" customWidth="1"/>
    <col min="9" max="9" width="10.33203125" style="265" bestFit="1" customWidth="1"/>
    <col min="10" max="40" width="0" style="266" hidden="1" customWidth="1"/>
    <col min="41" max="16384" width="36.88671875" style="266" hidden="1"/>
  </cols>
  <sheetData>
    <row r="1" spans="1:40" x14ac:dyDescent="0.5">
      <c r="A1" s="531" t="s">
        <v>559</v>
      </c>
      <c r="B1" s="532"/>
      <c r="C1" s="532"/>
      <c r="D1" s="532"/>
      <c r="E1" s="532"/>
      <c r="F1" s="532"/>
      <c r="G1" s="532"/>
      <c r="H1" s="533"/>
    </row>
    <row r="2" spans="1:40" ht="63.75" customHeight="1" x14ac:dyDescent="0.5">
      <c r="A2" s="534" t="s">
        <v>560</v>
      </c>
      <c r="B2" s="534"/>
      <c r="C2" s="534"/>
      <c r="D2" s="534"/>
      <c r="E2" s="534"/>
      <c r="F2" s="534"/>
      <c r="G2" s="534"/>
      <c r="H2" s="535"/>
    </row>
    <row r="3" spans="1:40" x14ac:dyDescent="0.5">
      <c r="A3" s="536" t="s">
        <v>561</v>
      </c>
      <c r="B3" s="537"/>
      <c r="C3" s="557" t="str">
        <f>'Quadro Geral'!C59</f>
        <v>Manutenção das atividades da gerência jurídica</v>
      </c>
      <c r="D3" s="557"/>
      <c r="E3" s="557"/>
      <c r="F3" s="557"/>
      <c r="G3" s="557"/>
      <c r="H3" s="558"/>
      <c r="N3" s="267"/>
      <c r="O3" s="268"/>
      <c r="P3" s="268"/>
      <c r="Q3" s="268"/>
      <c r="R3" s="268"/>
      <c r="S3" s="268"/>
      <c r="T3" s="268"/>
      <c r="U3" s="268"/>
      <c r="V3" s="268"/>
      <c r="W3" s="268"/>
    </row>
    <row r="4" spans="1:40" ht="30.75" customHeight="1" x14ac:dyDescent="0.5">
      <c r="A4" s="537" t="s">
        <v>34</v>
      </c>
      <c r="B4" s="537"/>
      <c r="C4" s="557" t="str">
        <f>'Quadro Geral'!E59</f>
        <v>Aprimorar e inovar os processos e as ações</v>
      </c>
      <c r="D4" s="557"/>
      <c r="E4" s="557"/>
      <c r="F4" s="557"/>
      <c r="G4" s="557"/>
      <c r="H4" s="558"/>
      <c r="V4" s="268"/>
      <c r="W4" s="268"/>
    </row>
    <row r="5" spans="1:40" s="272" customFormat="1" ht="49.5" customHeight="1" x14ac:dyDescent="0.5">
      <c r="A5" s="269"/>
      <c r="B5" s="269"/>
      <c r="C5" s="269"/>
      <c r="D5" s="270"/>
      <c r="E5" s="270"/>
      <c r="F5" s="270"/>
      <c r="G5" s="270" t="s">
        <v>155</v>
      </c>
      <c r="H5" s="270"/>
      <c r="I5" s="271"/>
      <c r="N5" s="273"/>
      <c r="O5" s="274"/>
      <c r="P5" s="274"/>
      <c r="Q5" s="274"/>
      <c r="R5" s="274"/>
      <c r="S5" s="274"/>
      <c r="T5" s="274"/>
      <c r="U5" s="274"/>
      <c r="V5" s="274"/>
      <c r="W5" s="274"/>
    </row>
    <row r="6" spans="1:40" x14ac:dyDescent="0.5">
      <c r="A6" s="540" t="s">
        <v>562</v>
      </c>
      <c r="B6" s="541"/>
      <c r="C6" s="541"/>
      <c r="D6" s="540" t="s">
        <v>563</v>
      </c>
      <c r="E6" s="541"/>
      <c r="F6" s="542"/>
      <c r="G6" s="543" t="s">
        <v>564</v>
      </c>
      <c r="H6" s="544"/>
      <c r="M6" s="274"/>
      <c r="N6" s="274"/>
      <c r="O6" s="274"/>
      <c r="P6" s="274"/>
      <c r="Q6" s="274"/>
      <c r="R6" s="274"/>
      <c r="S6" s="274"/>
      <c r="T6" s="274"/>
      <c r="U6" s="268"/>
      <c r="V6" s="268"/>
      <c r="W6" s="268"/>
    </row>
    <row r="7" spans="1:40" x14ac:dyDescent="0.5">
      <c r="A7" s="540" t="s">
        <v>565</v>
      </c>
      <c r="B7" s="541"/>
      <c r="C7" s="542"/>
      <c r="D7" s="540" t="s">
        <v>566</v>
      </c>
      <c r="E7" s="542"/>
      <c r="F7" s="545" t="s">
        <v>567</v>
      </c>
      <c r="G7" s="546" t="s">
        <v>568</v>
      </c>
      <c r="H7" s="546" t="s">
        <v>569</v>
      </c>
      <c r="M7" s="274"/>
      <c r="N7" s="274"/>
      <c r="O7" s="274"/>
      <c r="P7" s="274"/>
      <c r="Q7" s="274"/>
      <c r="R7" s="274"/>
      <c r="S7" s="274"/>
      <c r="T7" s="274"/>
      <c r="U7" s="268"/>
      <c r="V7" s="268"/>
      <c r="W7" s="268"/>
    </row>
    <row r="8" spans="1:40" ht="63" customHeight="1" x14ac:dyDescent="0.5">
      <c r="A8" s="275" t="s">
        <v>570</v>
      </c>
      <c r="B8" s="275" t="s">
        <v>571</v>
      </c>
      <c r="C8" s="276" t="s">
        <v>572</v>
      </c>
      <c r="D8" s="275" t="s">
        <v>573</v>
      </c>
      <c r="E8" s="275" t="s">
        <v>574</v>
      </c>
      <c r="F8" s="545"/>
      <c r="G8" s="547"/>
      <c r="H8" s="547"/>
      <c r="M8" s="274"/>
      <c r="N8" s="274"/>
      <c r="O8" s="274"/>
      <c r="P8" s="274"/>
      <c r="Q8" s="274"/>
      <c r="R8" s="274"/>
      <c r="S8" s="274"/>
      <c r="T8" s="274"/>
      <c r="U8" s="268"/>
      <c r="V8" s="268"/>
      <c r="W8" s="268"/>
      <c r="AN8" s="266" t="s">
        <v>72</v>
      </c>
    </row>
    <row r="9" spans="1:40" ht="32.25" customHeight="1" x14ac:dyDescent="0.5">
      <c r="A9" s="12"/>
      <c r="B9" s="319" t="s">
        <v>728</v>
      </c>
      <c r="C9" s="12"/>
      <c r="D9" s="13">
        <v>30000</v>
      </c>
      <c r="E9" s="13">
        <v>70000</v>
      </c>
      <c r="F9" s="277">
        <f t="shared" ref="F9:F14" si="0">IFERROR(E9/D9*100-100,)</f>
        <v>133.33333333333334</v>
      </c>
      <c r="G9" s="13"/>
      <c r="H9" s="278">
        <f t="shared" ref="H9:H14" si="1">IFERROR(G9/E9*100,)</f>
        <v>0</v>
      </c>
      <c r="M9" s="274"/>
      <c r="N9" s="267"/>
      <c r="O9" s="268"/>
      <c r="P9" s="268"/>
      <c r="Q9" s="268"/>
      <c r="R9" s="268"/>
      <c r="S9" s="268"/>
      <c r="T9" s="268"/>
      <c r="U9" s="268"/>
      <c r="V9" s="268"/>
      <c r="W9" s="268"/>
      <c r="AN9" s="266" t="s">
        <v>575</v>
      </c>
    </row>
    <row r="10" spans="1:40" ht="32.25" customHeight="1" x14ac:dyDescent="0.5">
      <c r="A10" s="12"/>
      <c r="B10" s="319" t="s">
        <v>729</v>
      </c>
      <c r="C10" s="12"/>
      <c r="D10" s="13">
        <v>10000</v>
      </c>
      <c r="E10" s="13">
        <v>20000</v>
      </c>
      <c r="F10" s="277">
        <f t="shared" si="0"/>
        <v>100</v>
      </c>
      <c r="G10" s="13"/>
      <c r="H10" s="278">
        <f t="shared" si="1"/>
        <v>0</v>
      </c>
      <c r="N10" s="267"/>
      <c r="O10" s="268"/>
      <c r="P10" s="268"/>
      <c r="Q10" s="268"/>
      <c r="R10" s="268"/>
      <c r="S10" s="268"/>
      <c r="T10" s="268"/>
      <c r="U10" s="268"/>
      <c r="V10" s="268"/>
      <c r="W10" s="268"/>
      <c r="AN10" s="266" t="s">
        <v>576</v>
      </c>
    </row>
    <row r="11" spans="1:40" ht="32.25" customHeight="1" x14ac:dyDescent="0.5">
      <c r="A11" s="12"/>
      <c r="B11" s="319" t="s">
        <v>730</v>
      </c>
      <c r="C11" s="12"/>
      <c r="D11" s="13">
        <v>5690</v>
      </c>
      <c r="E11" s="13">
        <v>43868.88</v>
      </c>
      <c r="F11" s="277">
        <f t="shared" si="0"/>
        <v>670.98207381370821</v>
      </c>
      <c r="G11" s="13"/>
      <c r="H11" s="278">
        <f t="shared" si="1"/>
        <v>0</v>
      </c>
      <c r="N11" s="267"/>
      <c r="O11" s="268"/>
      <c r="P11" s="268"/>
      <c r="Q11" s="268"/>
      <c r="R11" s="268"/>
      <c r="S11" s="268"/>
      <c r="T11" s="268"/>
      <c r="U11" s="268"/>
      <c r="V11" s="268"/>
      <c r="W11" s="268"/>
    </row>
    <row r="12" spans="1:40" ht="32.25" customHeight="1" x14ac:dyDescent="0.5">
      <c r="A12" s="12"/>
      <c r="B12" s="295" t="s">
        <v>620</v>
      </c>
      <c r="C12" s="12"/>
      <c r="D12" s="13">
        <v>813043.74</v>
      </c>
      <c r="E12" s="320">
        <v>860252.4</v>
      </c>
      <c r="F12" s="277">
        <f t="shared" si="0"/>
        <v>5.8064108580431366</v>
      </c>
      <c r="G12" s="13"/>
      <c r="H12" s="278">
        <f t="shared" si="1"/>
        <v>0</v>
      </c>
      <c r="N12" s="267"/>
      <c r="O12" s="268"/>
      <c r="P12" s="268"/>
      <c r="Q12" s="268"/>
      <c r="R12" s="268"/>
      <c r="S12" s="268"/>
      <c r="T12" s="268"/>
      <c r="U12" s="268"/>
      <c r="V12" s="268"/>
      <c r="W12" s="268"/>
    </row>
    <row r="13" spans="1:40" ht="32.25" customHeight="1" x14ac:dyDescent="0.5">
      <c r="A13" s="12"/>
      <c r="B13" s="295" t="s">
        <v>621</v>
      </c>
      <c r="C13" s="12"/>
      <c r="D13" s="13">
        <v>104642.36</v>
      </c>
      <c r="E13" s="320">
        <v>108550.68</v>
      </c>
      <c r="F13" s="277">
        <f t="shared" si="0"/>
        <v>3.7349310546895111</v>
      </c>
      <c r="G13" s="13"/>
      <c r="H13" s="278">
        <f t="shared" si="1"/>
        <v>0</v>
      </c>
      <c r="N13" s="268"/>
      <c r="O13" s="268"/>
      <c r="P13" s="268"/>
      <c r="Q13" s="268"/>
      <c r="R13" s="268"/>
      <c r="S13" s="268"/>
      <c r="T13" s="268"/>
      <c r="U13" s="268"/>
      <c r="V13" s="268"/>
      <c r="W13" s="268"/>
    </row>
    <row r="14" spans="1:40" s="284" customFormat="1" x14ac:dyDescent="0.3">
      <c r="A14" s="552" t="s">
        <v>0</v>
      </c>
      <c r="B14" s="552"/>
      <c r="C14" s="552"/>
      <c r="D14" s="280">
        <f>SUM(D9:D13)</f>
        <v>963376.1</v>
      </c>
      <c r="E14" s="280">
        <f>SUM(E9:E13)</f>
        <v>1102671.96</v>
      </c>
      <c r="F14" s="281">
        <f t="shared" si="0"/>
        <v>14.45913594908572</v>
      </c>
      <c r="G14" s="280">
        <f>SUM(G9:G13)</f>
        <v>0</v>
      </c>
      <c r="H14" s="282">
        <f t="shared" si="1"/>
        <v>0</v>
      </c>
      <c r="I14" s="283"/>
    </row>
    <row r="15" spans="1:40" x14ac:dyDescent="0.5">
      <c r="A15" s="553"/>
      <c r="B15" s="553"/>
      <c r="C15" s="553"/>
      <c r="D15" s="553"/>
      <c r="E15" s="553"/>
      <c r="F15" s="553"/>
      <c r="G15" s="553"/>
      <c r="H15" s="553"/>
    </row>
    <row r="16" spans="1:40" x14ac:dyDescent="0.5">
      <c r="A16" s="554" t="s">
        <v>227</v>
      </c>
      <c r="B16" s="555"/>
      <c r="C16" s="555"/>
      <c r="D16" s="555"/>
      <c r="E16" s="555"/>
      <c r="F16" s="555"/>
      <c r="G16" s="555"/>
      <c r="H16" s="556"/>
      <c r="J16" s="285"/>
    </row>
    <row r="17" spans="1:12" x14ac:dyDescent="0.5">
      <c r="A17" s="549"/>
      <c r="B17" s="550"/>
      <c r="C17" s="550"/>
      <c r="D17" s="550"/>
      <c r="E17" s="550"/>
      <c r="F17" s="550"/>
      <c r="G17" s="550"/>
      <c r="H17" s="551"/>
    </row>
    <row r="18" spans="1:12" x14ac:dyDescent="0.5">
      <c r="A18" s="286"/>
      <c r="B18" s="286"/>
      <c r="C18" s="286"/>
      <c r="D18" s="286"/>
      <c r="E18" s="286"/>
      <c r="F18" s="286"/>
      <c r="G18" s="286"/>
      <c r="H18" s="286"/>
    </row>
    <row r="19" spans="1:12" x14ac:dyDescent="0.5">
      <c r="A19" s="554" t="s">
        <v>577</v>
      </c>
      <c r="B19" s="555"/>
      <c r="C19" s="555"/>
      <c r="D19" s="555"/>
      <c r="E19" s="555"/>
      <c r="F19" s="555"/>
      <c r="G19" s="555"/>
      <c r="H19" s="556"/>
      <c r="I19" s="287"/>
      <c r="J19" s="288"/>
      <c r="K19" s="288"/>
      <c r="L19" s="272"/>
    </row>
    <row r="20" spans="1:12" ht="129" customHeight="1" x14ac:dyDescent="0.5">
      <c r="A20" s="548" t="s">
        <v>578</v>
      </c>
      <c r="B20" s="548"/>
      <c r="C20" s="548"/>
      <c r="D20" s="548"/>
      <c r="E20" s="548"/>
      <c r="F20" s="548"/>
      <c r="G20" s="548"/>
      <c r="H20" s="548"/>
    </row>
    <row r="21" spans="1:12" ht="181.5" customHeight="1" x14ac:dyDescent="0.5">
      <c r="A21" s="548"/>
      <c r="B21" s="548"/>
      <c r="C21" s="548"/>
      <c r="D21" s="548"/>
      <c r="E21" s="548"/>
      <c r="F21" s="548"/>
      <c r="G21" s="548"/>
      <c r="H21" s="548"/>
    </row>
    <row r="22" spans="1:12" x14ac:dyDescent="0.5"/>
    <row r="23" spans="1:12" x14ac:dyDescent="0.5"/>
    <row r="24" spans="1:12" x14ac:dyDescent="0.5"/>
    <row r="25" spans="1:12" x14ac:dyDescent="0.5"/>
    <row r="26" spans="1:12" x14ac:dyDescent="0.5"/>
    <row r="27" spans="1:12" x14ac:dyDescent="0.5"/>
  </sheetData>
  <sheetProtection formatCells="0" formatRows="0" insertRows="0" deleteRows="0"/>
  <mergeCells count="20">
    <mergeCell ref="A20:H21"/>
    <mergeCell ref="A6:C6"/>
    <mergeCell ref="D6:F6"/>
    <mergeCell ref="G6:H6"/>
    <mergeCell ref="A7:C7"/>
    <mergeCell ref="D7:E7"/>
    <mergeCell ref="F7:F8"/>
    <mergeCell ref="G7:G8"/>
    <mergeCell ref="H7:H8"/>
    <mergeCell ref="A14:C14"/>
    <mergeCell ref="A15:H15"/>
    <mergeCell ref="A16:H16"/>
    <mergeCell ref="A17:H17"/>
    <mergeCell ref="A19:H19"/>
    <mergeCell ref="A1:H1"/>
    <mergeCell ref="A2:H2"/>
    <mergeCell ref="A3:B3"/>
    <mergeCell ref="C3:H3"/>
    <mergeCell ref="A4:B4"/>
    <mergeCell ref="C4:H4"/>
  </mergeCells>
  <dataValidations count="1">
    <dataValidation type="list" allowBlank="1" showInputMessage="1" showErrorMessage="1" sqref="AN8:AN9">
      <formula1>$AN$8:$AN$9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'[5]AÇÕES ESTRATÉGICAS - DESCRIÇÃO '!#REF!</xm:f>
          </x14:formula1>
          <xm:sqref>C9:C13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rgb="FFFFFF00"/>
  </sheetPr>
  <dimension ref="A1:AN27"/>
  <sheetViews>
    <sheetView showGridLines="0" zoomScale="80" zoomScaleNormal="80" zoomScaleSheetLayoutView="80" workbookViewId="0">
      <selection activeCell="D9" sqref="D9:D10"/>
    </sheetView>
  </sheetViews>
  <sheetFormatPr defaultColWidth="0" defaultRowHeight="25.8" zeroHeight="1" x14ac:dyDescent="0.5"/>
  <cols>
    <col min="1" max="1" width="18.44140625" style="265" customWidth="1"/>
    <col min="2" max="2" width="79.6640625" style="265" customWidth="1"/>
    <col min="3" max="3" width="22.109375" style="265" customWidth="1"/>
    <col min="4" max="5" width="18.44140625" style="265" customWidth="1"/>
    <col min="6" max="6" width="14.33203125" style="265" customWidth="1"/>
    <col min="7" max="8" width="18.109375" style="289" hidden="1" customWidth="1"/>
    <col min="9" max="9" width="10.33203125" style="265" bestFit="1" customWidth="1"/>
    <col min="10" max="40" width="0" style="338" hidden="1" customWidth="1"/>
    <col min="41" max="16384" width="36.88671875" style="338" hidden="1"/>
  </cols>
  <sheetData>
    <row r="1" spans="1:40" x14ac:dyDescent="0.5">
      <c r="A1" s="531" t="s">
        <v>559</v>
      </c>
      <c r="B1" s="532"/>
      <c r="C1" s="532"/>
      <c r="D1" s="532"/>
      <c r="E1" s="532"/>
      <c r="F1" s="532"/>
      <c r="G1" s="532"/>
      <c r="H1" s="533"/>
    </row>
    <row r="2" spans="1:40" ht="63.75" customHeight="1" x14ac:dyDescent="0.5">
      <c r="A2" s="534" t="s">
        <v>560</v>
      </c>
      <c r="B2" s="534"/>
      <c r="C2" s="534"/>
      <c r="D2" s="534"/>
      <c r="E2" s="534"/>
      <c r="F2" s="534"/>
      <c r="G2" s="534"/>
      <c r="H2" s="535"/>
    </row>
    <row r="3" spans="1:40" x14ac:dyDescent="0.5">
      <c r="A3" s="536" t="s">
        <v>561</v>
      </c>
      <c r="B3" s="537"/>
      <c r="C3" s="557" t="str">
        <f>'Quadro Geral'!C60</f>
        <v>Manutenção das atividades da gerência de planejamento</v>
      </c>
      <c r="D3" s="557"/>
      <c r="E3" s="557"/>
      <c r="F3" s="557"/>
      <c r="G3" s="557"/>
      <c r="H3" s="558"/>
      <c r="N3" s="340"/>
      <c r="O3" s="339"/>
      <c r="P3" s="339"/>
      <c r="Q3" s="339"/>
      <c r="R3" s="339"/>
      <c r="S3" s="339"/>
      <c r="T3" s="339"/>
      <c r="U3" s="339"/>
      <c r="V3" s="339"/>
      <c r="W3" s="339"/>
    </row>
    <row r="4" spans="1:40" ht="30.75" customHeight="1" x14ac:dyDescent="0.5">
      <c r="A4" s="537" t="s">
        <v>34</v>
      </c>
      <c r="B4" s="537"/>
      <c r="C4" s="557" t="str">
        <f>'Quadro Geral'!E60</f>
        <v>Aprimorar e inovar os processos e as ações</v>
      </c>
      <c r="D4" s="557"/>
      <c r="E4" s="557"/>
      <c r="F4" s="557"/>
      <c r="G4" s="557"/>
      <c r="H4" s="558"/>
      <c r="V4" s="339"/>
      <c r="W4" s="339"/>
    </row>
    <row r="5" spans="1:40" s="344" customFormat="1" ht="49.5" customHeight="1" x14ac:dyDescent="0.5">
      <c r="A5" s="303"/>
      <c r="B5" s="303"/>
      <c r="C5" s="303"/>
      <c r="D5" s="270"/>
      <c r="E5" s="270"/>
      <c r="F5" s="270"/>
      <c r="G5" s="270" t="s">
        <v>155</v>
      </c>
      <c r="H5" s="270"/>
      <c r="I5" s="337"/>
      <c r="N5" s="342"/>
      <c r="O5" s="343"/>
      <c r="P5" s="343"/>
      <c r="Q5" s="343"/>
      <c r="R5" s="343"/>
      <c r="S5" s="343"/>
      <c r="T5" s="343"/>
      <c r="U5" s="343"/>
      <c r="V5" s="343"/>
      <c r="W5" s="343"/>
    </row>
    <row r="6" spans="1:40" x14ac:dyDescent="0.5">
      <c r="A6" s="540" t="s">
        <v>562</v>
      </c>
      <c r="B6" s="541"/>
      <c r="C6" s="541"/>
      <c r="D6" s="540" t="s">
        <v>563</v>
      </c>
      <c r="E6" s="541"/>
      <c r="F6" s="542"/>
      <c r="G6" s="543" t="s">
        <v>564</v>
      </c>
      <c r="H6" s="544"/>
      <c r="M6" s="343"/>
      <c r="N6" s="343"/>
      <c r="O6" s="343"/>
      <c r="P6" s="343"/>
      <c r="Q6" s="343"/>
      <c r="R6" s="343"/>
      <c r="S6" s="343"/>
      <c r="T6" s="343"/>
      <c r="U6" s="339"/>
      <c r="V6" s="339"/>
      <c r="W6" s="339"/>
    </row>
    <row r="7" spans="1:40" x14ac:dyDescent="0.5">
      <c r="A7" s="540" t="s">
        <v>565</v>
      </c>
      <c r="B7" s="541"/>
      <c r="C7" s="542"/>
      <c r="D7" s="540" t="s">
        <v>566</v>
      </c>
      <c r="E7" s="542"/>
      <c r="F7" s="545" t="s">
        <v>567</v>
      </c>
      <c r="G7" s="546" t="s">
        <v>568</v>
      </c>
      <c r="H7" s="546" t="s">
        <v>569</v>
      </c>
      <c r="M7" s="343"/>
      <c r="N7" s="343"/>
      <c r="O7" s="343"/>
      <c r="P7" s="343"/>
      <c r="Q7" s="343"/>
      <c r="R7" s="343"/>
      <c r="S7" s="343"/>
      <c r="T7" s="343"/>
      <c r="U7" s="339"/>
      <c r="V7" s="339"/>
      <c r="W7" s="339"/>
    </row>
    <row r="8" spans="1:40" ht="63" customHeight="1" x14ac:dyDescent="0.5">
      <c r="A8" s="301" t="s">
        <v>570</v>
      </c>
      <c r="B8" s="301" t="s">
        <v>571</v>
      </c>
      <c r="C8" s="276" t="s">
        <v>572</v>
      </c>
      <c r="D8" s="301" t="s">
        <v>573</v>
      </c>
      <c r="E8" s="301" t="s">
        <v>574</v>
      </c>
      <c r="F8" s="545"/>
      <c r="G8" s="547"/>
      <c r="H8" s="547"/>
      <c r="M8" s="343"/>
      <c r="N8" s="343"/>
      <c r="O8" s="343"/>
      <c r="P8" s="343"/>
      <c r="Q8" s="343"/>
      <c r="R8" s="343"/>
      <c r="S8" s="343"/>
      <c r="T8" s="343"/>
      <c r="U8" s="339"/>
      <c r="V8" s="339"/>
      <c r="W8" s="339"/>
      <c r="AN8" s="338" t="s">
        <v>72</v>
      </c>
    </row>
    <row r="9" spans="1:40" ht="32.25" customHeight="1" x14ac:dyDescent="0.5">
      <c r="A9" s="319"/>
      <c r="B9" s="297" t="s">
        <v>588</v>
      </c>
      <c r="C9" s="319"/>
      <c r="D9" s="13">
        <v>233977.05</v>
      </c>
      <c r="E9" s="13">
        <v>0</v>
      </c>
      <c r="F9" s="277">
        <f t="shared" ref="F9:F11" si="0">IFERROR(E9/D9*100-100,)</f>
        <v>-100</v>
      </c>
      <c r="G9" s="13"/>
      <c r="H9" s="278">
        <f t="shared" ref="H9:H11" si="1">IFERROR(G9/E9*100,)</f>
        <v>0</v>
      </c>
      <c r="M9" s="343"/>
      <c r="N9" s="340"/>
      <c r="O9" s="339"/>
      <c r="P9" s="339"/>
      <c r="Q9" s="339"/>
      <c r="R9" s="339"/>
      <c r="S9" s="339"/>
      <c r="T9" s="339"/>
      <c r="U9" s="339"/>
      <c r="V9" s="339"/>
      <c r="W9" s="339"/>
      <c r="AN9" s="338" t="s">
        <v>575</v>
      </c>
    </row>
    <row r="10" spans="1:40" ht="32.25" customHeight="1" x14ac:dyDescent="0.5">
      <c r="A10" s="319"/>
      <c r="B10" s="297" t="s">
        <v>614</v>
      </c>
      <c r="C10" s="319"/>
      <c r="D10" s="13">
        <v>24348.95</v>
      </c>
      <c r="E10" s="13">
        <v>0</v>
      </c>
      <c r="F10" s="277">
        <f t="shared" si="0"/>
        <v>-100</v>
      </c>
      <c r="G10" s="13"/>
      <c r="H10" s="278">
        <f t="shared" si="1"/>
        <v>0</v>
      </c>
      <c r="N10" s="340"/>
      <c r="O10" s="339"/>
      <c r="P10" s="339"/>
      <c r="Q10" s="339"/>
      <c r="R10" s="339"/>
      <c r="S10" s="339"/>
      <c r="T10" s="339"/>
      <c r="U10" s="339"/>
      <c r="V10" s="339"/>
      <c r="W10" s="339"/>
      <c r="AN10" s="338" t="s">
        <v>576</v>
      </c>
    </row>
    <row r="11" spans="1:40" s="345" customFormat="1" x14ac:dyDescent="0.3">
      <c r="A11" s="552" t="s">
        <v>0</v>
      </c>
      <c r="B11" s="552"/>
      <c r="C11" s="552"/>
      <c r="D11" s="280">
        <f>SUM(D9:D10)</f>
        <v>258326</v>
      </c>
      <c r="E11" s="280">
        <f>SUM(E9:E10)</f>
        <v>0</v>
      </c>
      <c r="F11" s="281">
        <f t="shared" si="0"/>
        <v>-100</v>
      </c>
      <c r="G11" s="280">
        <f>SUM(G9:G10)</f>
        <v>0</v>
      </c>
      <c r="H11" s="282">
        <f t="shared" si="1"/>
        <v>0</v>
      </c>
      <c r="I11" s="283"/>
    </row>
    <row r="12" spans="1:40" x14ac:dyDescent="0.5">
      <c r="A12" s="553"/>
      <c r="B12" s="553"/>
      <c r="C12" s="553"/>
      <c r="D12" s="553"/>
      <c r="E12" s="553"/>
      <c r="F12" s="553"/>
      <c r="G12" s="553"/>
      <c r="H12" s="553"/>
    </row>
    <row r="13" spans="1:40" x14ac:dyDescent="0.5">
      <c r="A13" s="554" t="s">
        <v>227</v>
      </c>
      <c r="B13" s="555"/>
      <c r="C13" s="555"/>
      <c r="D13" s="555"/>
      <c r="E13" s="555"/>
      <c r="F13" s="555"/>
      <c r="G13" s="555"/>
      <c r="H13" s="556"/>
      <c r="J13" s="346"/>
    </row>
    <row r="14" spans="1:40" x14ac:dyDescent="0.5">
      <c r="A14" s="549"/>
      <c r="B14" s="550"/>
      <c r="C14" s="550"/>
      <c r="D14" s="550"/>
      <c r="E14" s="550"/>
      <c r="F14" s="550"/>
      <c r="G14" s="550"/>
      <c r="H14" s="551"/>
    </row>
    <row r="15" spans="1:40" x14ac:dyDescent="0.5">
      <c r="A15" s="286"/>
      <c r="B15" s="286"/>
      <c r="C15" s="286"/>
      <c r="D15" s="286"/>
      <c r="E15" s="286"/>
      <c r="F15" s="286"/>
      <c r="G15" s="286"/>
      <c r="H15" s="286"/>
    </row>
    <row r="16" spans="1:40" x14ac:dyDescent="0.5">
      <c r="A16" s="554" t="s">
        <v>577</v>
      </c>
      <c r="B16" s="555"/>
      <c r="C16" s="555"/>
      <c r="D16" s="555"/>
      <c r="E16" s="555"/>
      <c r="F16" s="555"/>
      <c r="G16" s="555"/>
      <c r="H16" s="556"/>
      <c r="I16" s="287"/>
      <c r="J16" s="341"/>
      <c r="K16" s="341"/>
      <c r="L16" s="344"/>
    </row>
    <row r="17" spans="1:8" ht="129" customHeight="1" x14ac:dyDescent="0.5">
      <c r="A17" s="548" t="s">
        <v>578</v>
      </c>
      <c r="B17" s="548"/>
      <c r="C17" s="548"/>
      <c r="D17" s="548"/>
      <c r="E17" s="548"/>
      <c r="F17" s="548"/>
      <c r="G17" s="548"/>
      <c r="H17" s="548"/>
    </row>
    <row r="18" spans="1:8" ht="181.5" customHeight="1" x14ac:dyDescent="0.5">
      <c r="A18" s="548"/>
      <c r="B18" s="548"/>
      <c r="C18" s="548"/>
      <c r="D18" s="548"/>
      <c r="E18" s="548"/>
      <c r="F18" s="548"/>
      <c r="G18" s="548"/>
      <c r="H18" s="548"/>
    </row>
    <row r="19" spans="1:8" x14ac:dyDescent="0.5"/>
    <row r="20" spans="1:8" x14ac:dyDescent="0.5"/>
    <row r="21" spans="1:8" x14ac:dyDescent="0.5"/>
    <row r="22" spans="1:8" x14ac:dyDescent="0.5"/>
    <row r="23" spans="1:8" x14ac:dyDescent="0.5"/>
    <row r="24" spans="1:8" x14ac:dyDescent="0.5"/>
    <row r="25" spans="1:8" x14ac:dyDescent="0.5"/>
    <row r="26" spans="1:8" x14ac:dyDescent="0.5"/>
    <row r="27" spans="1:8" x14ac:dyDescent="0.5"/>
  </sheetData>
  <sheetProtection formatCells="0" formatRows="0" insertRows="0" deleteRows="0"/>
  <mergeCells count="20">
    <mergeCell ref="A17:H18"/>
    <mergeCell ref="A6:C6"/>
    <mergeCell ref="D6:F6"/>
    <mergeCell ref="G6:H6"/>
    <mergeCell ref="A7:C7"/>
    <mergeCell ref="D7:E7"/>
    <mergeCell ref="F7:F8"/>
    <mergeCell ref="G7:G8"/>
    <mergeCell ref="H7:H8"/>
    <mergeCell ref="A11:C11"/>
    <mergeCell ref="A12:H12"/>
    <mergeCell ref="A13:H13"/>
    <mergeCell ref="A14:H14"/>
    <mergeCell ref="A16:H16"/>
    <mergeCell ref="A1:H1"/>
    <mergeCell ref="A2:H2"/>
    <mergeCell ref="A3:B3"/>
    <mergeCell ref="C3:H3"/>
    <mergeCell ref="A4:B4"/>
    <mergeCell ref="C4:H4"/>
  </mergeCells>
  <dataValidations count="1">
    <dataValidation type="list" allowBlank="1" showInputMessage="1" showErrorMessage="1" sqref="AN8:AN9">
      <formula1>$AN$8:$AN$9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'[5]AÇÕES ESTRATÉGICAS - DESCRIÇÃO '!#REF!</xm:f>
          </x14:formula1>
          <xm:sqref>C9:C10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>
    <tabColor rgb="FFFFFF00"/>
  </sheetPr>
  <dimension ref="A1:AN62"/>
  <sheetViews>
    <sheetView showGridLines="0" topLeftCell="A7" zoomScale="80" zoomScaleNormal="80" zoomScaleSheetLayoutView="80" workbookViewId="0">
      <selection activeCell="E17" activeCellId="2" sqref="E9 E13 E17"/>
    </sheetView>
  </sheetViews>
  <sheetFormatPr defaultColWidth="0" defaultRowHeight="25.8" zeroHeight="1" x14ac:dyDescent="0.5"/>
  <cols>
    <col min="1" max="1" width="18.44140625" style="265" customWidth="1"/>
    <col min="2" max="2" width="79.6640625" style="265" customWidth="1"/>
    <col min="3" max="3" width="22.109375" style="265" customWidth="1"/>
    <col min="4" max="5" width="18.44140625" style="265" customWidth="1"/>
    <col min="6" max="6" width="14.33203125" style="265" customWidth="1"/>
    <col min="7" max="8" width="18.109375" style="289" hidden="1" customWidth="1"/>
    <col min="9" max="9" width="10.33203125" style="265" bestFit="1" customWidth="1"/>
    <col min="10" max="40" width="0" style="266" hidden="1" customWidth="1"/>
    <col min="41" max="16384" width="36.88671875" style="266" hidden="1"/>
  </cols>
  <sheetData>
    <row r="1" spans="1:40" x14ac:dyDescent="0.5">
      <c r="A1" s="531" t="s">
        <v>559</v>
      </c>
      <c r="B1" s="532"/>
      <c r="C1" s="532"/>
      <c r="D1" s="532"/>
      <c r="E1" s="532"/>
      <c r="F1" s="532"/>
      <c r="G1" s="532"/>
      <c r="H1" s="533"/>
    </row>
    <row r="2" spans="1:40" ht="63.75" customHeight="1" x14ac:dyDescent="0.5">
      <c r="A2" s="534" t="s">
        <v>560</v>
      </c>
      <c r="B2" s="534"/>
      <c r="C2" s="534"/>
      <c r="D2" s="534"/>
      <c r="E2" s="534"/>
      <c r="F2" s="534"/>
      <c r="G2" s="534"/>
      <c r="H2" s="535"/>
    </row>
    <row r="3" spans="1:40" x14ac:dyDescent="0.5">
      <c r="A3" s="536" t="s">
        <v>561</v>
      </c>
      <c r="B3" s="537"/>
      <c r="C3" s="557" t="str">
        <f>'Quadro Geral'!C61</f>
        <v>Manutenção das atividades da gerência de comunicação</v>
      </c>
      <c r="D3" s="557"/>
      <c r="E3" s="557"/>
      <c r="F3" s="557"/>
      <c r="G3" s="557"/>
      <c r="H3" s="558"/>
      <c r="N3" s="267"/>
      <c r="O3" s="268"/>
      <c r="P3" s="268"/>
      <c r="Q3" s="268"/>
      <c r="R3" s="268"/>
      <c r="S3" s="268"/>
      <c r="T3" s="268"/>
      <c r="U3" s="268"/>
      <c r="V3" s="268"/>
      <c r="W3" s="268"/>
    </row>
    <row r="4" spans="1:40" ht="30.75" customHeight="1" x14ac:dyDescent="0.5">
      <c r="A4" s="537" t="s">
        <v>34</v>
      </c>
      <c r="B4" s="537"/>
      <c r="C4" s="557" t="str">
        <f>'Quadro Geral'!E61</f>
        <v>Assegurar a eficácia no relacionamento e comunicação com a sociedade</v>
      </c>
      <c r="D4" s="557"/>
      <c r="E4" s="557"/>
      <c r="F4" s="557"/>
      <c r="G4" s="557"/>
      <c r="H4" s="558"/>
      <c r="V4" s="268"/>
      <c r="W4" s="268"/>
    </row>
    <row r="5" spans="1:40" s="272" customFormat="1" ht="49.5" customHeight="1" x14ac:dyDescent="0.5">
      <c r="A5" s="269"/>
      <c r="B5" s="269"/>
      <c r="C5" s="269"/>
      <c r="D5" s="270"/>
      <c r="E5" s="270"/>
      <c r="F5" s="270"/>
      <c r="G5" s="270" t="s">
        <v>155</v>
      </c>
      <c r="H5" s="270"/>
      <c r="I5" s="271"/>
      <c r="N5" s="273"/>
      <c r="O5" s="274"/>
      <c r="P5" s="274"/>
      <c r="Q5" s="274"/>
      <c r="R5" s="274"/>
      <c r="S5" s="274"/>
      <c r="T5" s="274"/>
      <c r="U5" s="274"/>
      <c r="V5" s="274"/>
      <c r="W5" s="274"/>
    </row>
    <row r="6" spans="1:40" x14ac:dyDescent="0.5">
      <c r="A6" s="540" t="s">
        <v>562</v>
      </c>
      <c r="B6" s="541"/>
      <c r="C6" s="541"/>
      <c r="D6" s="540" t="s">
        <v>563</v>
      </c>
      <c r="E6" s="541"/>
      <c r="F6" s="542"/>
      <c r="G6" s="543" t="s">
        <v>564</v>
      </c>
      <c r="H6" s="544"/>
      <c r="M6" s="274"/>
      <c r="N6" s="274"/>
      <c r="O6" s="274"/>
      <c r="P6" s="274"/>
      <c r="Q6" s="274"/>
      <c r="R6" s="274"/>
      <c r="S6" s="274"/>
      <c r="T6" s="274"/>
      <c r="U6" s="268"/>
      <c r="V6" s="268"/>
      <c r="W6" s="268"/>
    </row>
    <row r="7" spans="1:40" x14ac:dyDescent="0.5">
      <c r="A7" s="540" t="s">
        <v>565</v>
      </c>
      <c r="B7" s="541"/>
      <c r="C7" s="542"/>
      <c r="D7" s="540" t="s">
        <v>566</v>
      </c>
      <c r="E7" s="542"/>
      <c r="F7" s="545" t="s">
        <v>567</v>
      </c>
      <c r="G7" s="546" t="s">
        <v>568</v>
      </c>
      <c r="H7" s="546" t="s">
        <v>569</v>
      </c>
      <c r="M7" s="274"/>
      <c r="N7" s="274"/>
      <c r="O7" s="274"/>
      <c r="P7" s="274"/>
      <c r="Q7" s="274"/>
      <c r="R7" s="274"/>
      <c r="S7" s="274"/>
      <c r="T7" s="274"/>
      <c r="U7" s="268"/>
      <c r="V7" s="268"/>
      <c r="W7" s="268"/>
    </row>
    <row r="8" spans="1:40" ht="63" customHeight="1" x14ac:dyDescent="0.5">
      <c r="A8" s="275" t="s">
        <v>570</v>
      </c>
      <c r="B8" s="275" t="s">
        <v>571</v>
      </c>
      <c r="C8" s="276" t="s">
        <v>572</v>
      </c>
      <c r="D8" s="275" t="s">
        <v>573</v>
      </c>
      <c r="E8" s="275" t="s">
        <v>574</v>
      </c>
      <c r="F8" s="545"/>
      <c r="G8" s="547"/>
      <c r="H8" s="547"/>
      <c r="M8" s="274"/>
      <c r="N8" s="274"/>
      <c r="O8" s="274"/>
      <c r="P8" s="274"/>
      <c r="Q8" s="274"/>
      <c r="R8" s="274"/>
      <c r="S8" s="274"/>
      <c r="T8" s="274"/>
      <c r="U8" s="268"/>
      <c r="V8" s="268"/>
      <c r="W8" s="268"/>
      <c r="AN8" s="266" t="s">
        <v>72</v>
      </c>
    </row>
    <row r="9" spans="1:40" ht="32.25" customHeight="1" x14ac:dyDescent="0.5">
      <c r="A9" s="12"/>
      <c r="B9" s="319" t="s">
        <v>731</v>
      </c>
      <c r="C9" s="12"/>
      <c r="D9" s="13">
        <v>450000</v>
      </c>
      <c r="E9" s="320">
        <v>600000</v>
      </c>
      <c r="F9" s="277">
        <f t="shared" ref="F9:F18" si="0">IFERROR(E9/D9*100-100,)</f>
        <v>33.333333333333314</v>
      </c>
      <c r="G9" s="13"/>
      <c r="H9" s="278">
        <f t="shared" ref="H9:H18" si="1">IFERROR(G9/E9*100,)</f>
        <v>0</v>
      </c>
      <c r="M9" s="274"/>
      <c r="N9" s="267"/>
      <c r="O9" s="268"/>
      <c r="P9" s="268"/>
      <c r="Q9" s="268"/>
      <c r="R9" s="268"/>
      <c r="S9" s="268"/>
      <c r="T9" s="268"/>
      <c r="U9" s="268"/>
      <c r="V9" s="268"/>
      <c r="W9" s="268"/>
      <c r="AN9" s="266" t="s">
        <v>575</v>
      </c>
    </row>
    <row r="10" spans="1:40" ht="32.25" customHeight="1" x14ac:dyDescent="0.5">
      <c r="A10" s="12"/>
      <c r="B10" s="319" t="s">
        <v>732</v>
      </c>
      <c r="C10" s="12"/>
      <c r="D10" s="13">
        <v>15000</v>
      </c>
      <c r="E10" s="320">
        <v>0</v>
      </c>
      <c r="F10" s="277">
        <f t="shared" si="0"/>
        <v>-100</v>
      </c>
      <c r="G10" s="13"/>
      <c r="H10" s="278">
        <f t="shared" si="1"/>
        <v>0</v>
      </c>
      <c r="N10" s="267"/>
      <c r="O10" s="268"/>
      <c r="P10" s="268"/>
      <c r="Q10" s="268"/>
      <c r="R10" s="268"/>
      <c r="S10" s="268"/>
      <c r="T10" s="268"/>
      <c r="U10" s="268"/>
      <c r="V10" s="268"/>
      <c r="W10" s="268"/>
      <c r="AN10" s="266" t="s">
        <v>576</v>
      </c>
    </row>
    <row r="11" spans="1:40" ht="32.25" customHeight="1" x14ac:dyDescent="0.5">
      <c r="A11" s="12"/>
      <c r="B11" s="319" t="s">
        <v>733</v>
      </c>
      <c r="C11" s="12"/>
      <c r="D11" s="13">
        <v>550</v>
      </c>
      <c r="E11" s="320">
        <v>0</v>
      </c>
      <c r="F11" s="277">
        <f t="shared" si="0"/>
        <v>-100</v>
      </c>
      <c r="G11" s="13"/>
      <c r="H11" s="278">
        <f t="shared" si="1"/>
        <v>0</v>
      </c>
      <c r="N11" s="267"/>
      <c r="O11" s="268"/>
      <c r="P11" s="268"/>
      <c r="Q11" s="268"/>
      <c r="R11" s="268"/>
      <c r="S11" s="268"/>
      <c r="T11" s="268"/>
      <c r="U11" s="268"/>
      <c r="V11" s="268"/>
      <c r="W11" s="268"/>
    </row>
    <row r="12" spans="1:40" ht="32.25" customHeight="1" x14ac:dyDescent="0.5">
      <c r="A12" s="12"/>
      <c r="B12" s="319" t="s">
        <v>734</v>
      </c>
      <c r="C12" s="12"/>
      <c r="D12" s="13">
        <v>15000</v>
      </c>
      <c r="E12" s="320">
        <v>0</v>
      </c>
      <c r="F12" s="277">
        <f t="shared" si="0"/>
        <v>-100</v>
      </c>
      <c r="G12" s="13"/>
      <c r="H12" s="278">
        <f t="shared" si="1"/>
        <v>0</v>
      </c>
      <c r="N12" s="267"/>
      <c r="O12" s="268"/>
      <c r="P12" s="268"/>
      <c r="Q12" s="268"/>
      <c r="R12" s="268"/>
      <c r="S12" s="268"/>
      <c r="T12" s="268"/>
      <c r="U12" s="268"/>
      <c r="V12" s="268"/>
      <c r="W12" s="268"/>
    </row>
    <row r="13" spans="1:40" ht="32.25" customHeight="1" x14ac:dyDescent="0.5">
      <c r="A13" s="12"/>
      <c r="B13" s="319" t="s">
        <v>590</v>
      </c>
      <c r="C13" s="12"/>
      <c r="D13" s="13">
        <v>19131.439999999999</v>
      </c>
      <c r="E13" s="351">
        <v>42388</v>
      </c>
      <c r="F13" s="277">
        <f t="shared" si="0"/>
        <v>121.5619942879365</v>
      </c>
      <c r="G13" s="13"/>
      <c r="H13" s="278">
        <f t="shared" si="1"/>
        <v>0</v>
      </c>
      <c r="N13" s="268"/>
      <c r="O13" s="268"/>
      <c r="P13" s="268"/>
      <c r="Q13" s="268"/>
      <c r="R13" s="268"/>
      <c r="S13" s="268"/>
      <c r="T13" s="268"/>
      <c r="U13" s="268"/>
      <c r="V13" s="268"/>
      <c r="W13" s="268"/>
    </row>
    <row r="14" spans="1:40" ht="32.25" customHeight="1" x14ac:dyDescent="0.5">
      <c r="A14" s="12"/>
      <c r="B14" s="297" t="s">
        <v>588</v>
      </c>
      <c r="C14" s="12"/>
      <c r="D14" s="13">
        <v>527055.38</v>
      </c>
      <c r="E14" s="320">
        <v>514978.32</v>
      </c>
      <c r="F14" s="277">
        <f t="shared" si="0"/>
        <v>-2.29142144417537</v>
      </c>
      <c r="G14" s="13"/>
      <c r="H14" s="278">
        <f t="shared" si="1"/>
        <v>0</v>
      </c>
      <c r="N14" s="268"/>
      <c r="O14" s="268"/>
      <c r="P14" s="268"/>
      <c r="Q14" s="268"/>
      <c r="R14" s="268"/>
      <c r="S14" s="268"/>
      <c r="T14" s="268"/>
      <c r="U14" s="268"/>
      <c r="V14" s="268"/>
      <c r="W14" s="268"/>
    </row>
    <row r="15" spans="1:40" ht="32.25" customHeight="1" x14ac:dyDescent="0.5">
      <c r="A15" s="12"/>
      <c r="B15" s="297" t="s">
        <v>614</v>
      </c>
      <c r="C15" s="12"/>
      <c r="D15" s="13">
        <v>78474.48</v>
      </c>
      <c r="E15" s="320">
        <v>63491.28</v>
      </c>
      <c r="F15" s="277">
        <f t="shared" si="0"/>
        <v>-19.093086058040782</v>
      </c>
      <c r="G15" s="13"/>
      <c r="H15" s="278">
        <f t="shared" si="1"/>
        <v>0</v>
      </c>
      <c r="N15" s="279"/>
    </row>
    <row r="16" spans="1:40" ht="32.25" customHeight="1" x14ac:dyDescent="0.5">
      <c r="A16" s="12"/>
      <c r="B16" s="12" t="s">
        <v>748</v>
      </c>
      <c r="C16" s="12"/>
      <c r="D16" s="13">
        <v>0</v>
      </c>
      <c r="E16" s="320">
        <v>18000</v>
      </c>
      <c r="F16" s="277">
        <f t="shared" si="0"/>
        <v>0</v>
      </c>
      <c r="G16" s="13"/>
      <c r="H16" s="278">
        <f t="shared" si="1"/>
        <v>0</v>
      </c>
    </row>
    <row r="17" spans="1:10" ht="32.25" customHeight="1" x14ac:dyDescent="0.5">
      <c r="A17" s="12"/>
      <c r="B17" s="12" t="s">
        <v>747</v>
      </c>
      <c r="C17" s="12"/>
      <c r="D17" s="13"/>
      <c r="E17" s="320">
        <v>21000</v>
      </c>
      <c r="F17" s="277">
        <f t="shared" si="0"/>
        <v>0</v>
      </c>
      <c r="G17" s="13"/>
      <c r="H17" s="278">
        <f t="shared" si="1"/>
        <v>0</v>
      </c>
    </row>
    <row r="18" spans="1:10" s="284" customFormat="1" x14ac:dyDescent="0.3">
      <c r="A18" s="552" t="s">
        <v>0</v>
      </c>
      <c r="B18" s="552"/>
      <c r="C18" s="552"/>
      <c r="D18" s="280">
        <f>SUM(D9:D17)</f>
        <v>1105211.3</v>
      </c>
      <c r="E18" s="280">
        <f>SUM(E9:E17)</f>
        <v>1259857.6000000001</v>
      </c>
      <c r="F18" s="281">
        <f t="shared" si="0"/>
        <v>13.992464608351369</v>
      </c>
      <c r="G18" s="280">
        <f>SUM(G9:G17)</f>
        <v>0</v>
      </c>
      <c r="H18" s="282">
        <f t="shared" si="1"/>
        <v>0</v>
      </c>
      <c r="I18" s="283"/>
    </row>
    <row r="19" spans="1:10" x14ac:dyDescent="0.5">
      <c r="A19" s="553"/>
      <c r="B19" s="553"/>
      <c r="C19" s="553"/>
      <c r="D19" s="553"/>
      <c r="E19" s="553"/>
      <c r="F19" s="553"/>
      <c r="G19" s="553"/>
      <c r="H19" s="553"/>
    </row>
    <row r="20" spans="1:10" x14ac:dyDescent="0.5">
      <c r="A20" s="554" t="s">
        <v>227</v>
      </c>
      <c r="B20" s="555"/>
      <c r="C20" s="555"/>
      <c r="D20" s="555"/>
      <c r="E20" s="555"/>
      <c r="F20" s="555"/>
      <c r="G20" s="555"/>
      <c r="H20" s="556"/>
      <c r="J20" s="285"/>
    </row>
    <row r="21" spans="1:10" x14ac:dyDescent="0.5">
      <c r="A21" s="549"/>
      <c r="B21" s="550"/>
      <c r="C21" s="550"/>
      <c r="D21" s="550"/>
      <c r="E21" s="550"/>
      <c r="F21" s="550"/>
      <c r="G21" s="550"/>
      <c r="H21" s="551"/>
    </row>
    <row r="22" spans="1:10" x14ac:dyDescent="0.5">
      <c r="A22" s="286"/>
      <c r="B22" s="286"/>
      <c r="C22" s="286"/>
      <c r="D22" s="286"/>
      <c r="E22" s="286"/>
      <c r="F22" s="286"/>
      <c r="G22" s="286"/>
      <c r="H22" s="286"/>
    </row>
    <row r="23" spans="1:10" s="347" customFormat="1" x14ac:dyDescent="0.5">
      <c r="A23" s="286"/>
      <c r="B23" s="286"/>
      <c r="C23" s="286"/>
      <c r="D23" s="286"/>
      <c r="E23" s="286"/>
      <c r="F23" s="286"/>
      <c r="G23" s="286"/>
      <c r="H23" s="286"/>
      <c r="I23" s="265"/>
    </row>
    <row r="24" spans="1:10" s="347" customFormat="1" x14ac:dyDescent="0.5">
      <c r="A24" s="536" t="s">
        <v>561</v>
      </c>
      <c r="B24" s="537"/>
      <c r="C24" s="557" t="s">
        <v>751</v>
      </c>
      <c r="D24" s="557"/>
      <c r="E24" s="557"/>
      <c r="F24" s="557"/>
      <c r="G24" s="557"/>
      <c r="H24" s="558"/>
      <c r="I24" s="265"/>
    </row>
    <row r="25" spans="1:10" s="347" customFormat="1" x14ac:dyDescent="0.5">
      <c r="A25" s="537" t="s">
        <v>34</v>
      </c>
      <c r="B25" s="537"/>
      <c r="C25" s="557" t="str">
        <f>C4</f>
        <v>Assegurar a eficácia no relacionamento e comunicação com a sociedade</v>
      </c>
      <c r="D25" s="557"/>
      <c r="E25" s="557"/>
      <c r="F25" s="557"/>
      <c r="G25" s="557"/>
      <c r="H25" s="558"/>
      <c r="I25" s="265"/>
    </row>
    <row r="26" spans="1:10" s="347" customFormat="1" x14ac:dyDescent="0.5">
      <c r="A26" s="303"/>
      <c r="B26" s="303"/>
      <c r="C26" s="303"/>
      <c r="D26" s="270"/>
      <c r="E26" s="270"/>
      <c r="F26" s="270"/>
      <c r="G26" s="270" t="s">
        <v>155</v>
      </c>
      <c r="H26" s="270"/>
      <c r="I26" s="265"/>
    </row>
    <row r="27" spans="1:10" s="347" customFormat="1" x14ac:dyDescent="0.5">
      <c r="A27" s="540" t="s">
        <v>562</v>
      </c>
      <c r="B27" s="541"/>
      <c r="C27" s="541"/>
      <c r="D27" s="540" t="s">
        <v>563</v>
      </c>
      <c r="E27" s="541"/>
      <c r="F27" s="542"/>
      <c r="G27" s="543" t="s">
        <v>564</v>
      </c>
      <c r="H27" s="544"/>
      <c r="I27" s="265"/>
    </row>
    <row r="28" spans="1:10" s="347" customFormat="1" x14ac:dyDescent="0.5">
      <c r="A28" s="540" t="s">
        <v>565</v>
      </c>
      <c r="B28" s="541"/>
      <c r="C28" s="542"/>
      <c r="D28" s="540" t="s">
        <v>566</v>
      </c>
      <c r="E28" s="542"/>
      <c r="F28" s="545" t="s">
        <v>567</v>
      </c>
      <c r="G28" s="546" t="s">
        <v>568</v>
      </c>
      <c r="H28" s="546" t="s">
        <v>569</v>
      </c>
      <c r="I28" s="265"/>
    </row>
    <row r="29" spans="1:10" s="347" customFormat="1" ht="46.8" x14ac:dyDescent="0.5">
      <c r="A29" s="372" t="s">
        <v>570</v>
      </c>
      <c r="B29" s="372" t="s">
        <v>571</v>
      </c>
      <c r="C29" s="276" t="s">
        <v>572</v>
      </c>
      <c r="D29" s="372" t="s">
        <v>573</v>
      </c>
      <c r="E29" s="372" t="s">
        <v>574</v>
      </c>
      <c r="F29" s="545"/>
      <c r="G29" s="547"/>
      <c r="H29" s="547"/>
      <c r="I29" s="265"/>
    </row>
    <row r="30" spans="1:10" s="347" customFormat="1" ht="31.2" x14ac:dyDescent="0.5">
      <c r="A30" s="319"/>
      <c r="B30" s="319" t="s">
        <v>731</v>
      </c>
      <c r="C30" s="319"/>
      <c r="D30" s="13">
        <v>0</v>
      </c>
      <c r="E30" s="320">
        <v>230000</v>
      </c>
      <c r="F30" s="277">
        <f t="shared" ref="F30:F31" si="2">IFERROR(E30/D30*100-100,)</f>
        <v>0</v>
      </c>
      <c r="G30" s="13"/>
      <c r="H30" s="278">
        <f t="shared" ref="H30:H31" si="3">IFERROR(G30/E30*100,)</f>
        <v>0</v>
      </c>
      <c r="I30" s="265"/>
    </row>
    <row r="31" spans="1:10" s="347" customFormat="1" x14ac:dyDescent="0.5">
      <c r="A31" s="552"/>
      <c r="B31" s="552"/>
      <c r="C31" s="552"/>
      <c r="D31" s="280">
        <f>D30</f>
        <v>0</v>
      </c>
      <c r="E31" s="280">
        <f>E30</f>
        <v>230000</v>
      </c>
      <c r="F31" s="281">
        <f t="shared" si="2"/>
        <v>0</v>
      </c>
      <c r="G31" s="280">
        <f>SUM(G30:G30)</f>
        <v>0</v>
      </c>
      <c r="H31" s="282">
        <f t="shared" si="3"/>
        <v>0</v>
      </c>
      <c r="I31" s="265"/>
    </row>
    <row r="32" spans="1:10" s="347" customFormat="1" x14ac:dyDescent="0.5">
      <c r="A32" s="553"/>
      <c r="B32" s="553"/>
      <c r="C32" s="553"/>
      <c r="D32" s="553"/>
      <c r="E32" s="553"/>
      <c r="F32" s="553"/>
      <c r="G32" s="553"/>
      <c r="H32" s="553"/>
      <c r="I32" s="265"/>
    </row>
    <row r="33" spans="1:12" s="347" customFormat="1" x14ac:dyDescent="0.5">
      <c r="A33" s="554" t="s">
        <v>227</v>
      </c>
      <c r="B33" s="555"/>
      <c r="C33" s="555"/>
      <c r="D33" s="555"/>
      <c r="E33" s="555"/>
      <c r="F33" s="555"/>
      <c r="G33" s="555"/>
      <c r="H33" s="556"/>
      <c r="I33" s="265"/>
    </row>
    <row r="34" spans="1:12" s="347" customFormat="1" x14ac:dyDescent="0.5">
      <c r="A34" s="549"/>
      <c r="B34" s="550"/>
      <c r="C34" s="550"/>
      <c r="D34" s="550"/>
      <c r="E34" s="550"/>
      <c r="F34" s="550"/>
      <c r="G34" s="550"/>
      <c r="H34" s="551"/>
      <c r="I34" s="265"/>
    </row>
    <row r="35" spans="1:12" s="347" customFormat="1" x14ac:dyDescent="0.5">
      <c r="A35" s="286"/>
      <c r="B35" s="286"/>
      <c r="C35" s="286"/>
      <c r="D35" s="286"/>
      <c r="E35" s="286"/>
      <c r="F35" s="286"/>
      <c r="G35" s="286"/>
      <c r="H35" s="286"/>
      <c r="I35" s="265"/>
    </row>
    <row r="36" spans="1:12" s="347" customFormat="1" x14ac:dyDescent="0.5">
      <c r="A36" s="286"/>
      <c r="B36" s="286"/>
      <c r="C36" s="286"/>
      <c r="D36" s="286"/>
      <c r="E36" s="286"/>
      <c r="F36" s="286"/>
      <c r="G36" s="286"/>
      <c r="H36" s="286"/>
      <c r="I36" s="265"/>
    </row>
    <row r="37" spans="1:12" x14ac:dyDescent="0.5">
      <c r="A37" s="554" t="s">
        <v>577</v>
      </c>
      <c r="B37" s="555"/>
      <c r="C37" s="555"/>
      <c r="D37" s="555"/>
      <c r="E37" s="555"/>
      <c r="F37" s="555"/>
      <c r="G37" s="555"/>
      <c r="H37" s="556"/>
      <c r="I37" s="287"/>
      <c r="J37" s="288"/>
      <c r="K37" s="288"/>
      <c r="L37" s="272"/>
    </row>
    <row r="38" spans="1:12" ht="129" customHeight="1" x14ac:dyDescent="0.5">
      <c r="A38" s="548" t="s">
        <v>578</v>
      </c>
      <c r="B38" s="548"/>
      <c r="C38" s="548"/>
      <c r="D38" s="548"/>
      <c r="E38" s="548"/>
      <c r="F38" s="548"/>
      <c r="G38" s="548"/>
      <c r="H38" s="548"/>
    </row>
    <row r="39" spans="1:12" ht="181.5" customHeight="1" x14ac:dyDescent="0.5">
      <c r="A39" s="548"/>
      <c r="B39" s="548"/>
      <c r="C39" s="548"/>
      <c r="D39" s="548"/>
      <c r="E39" s="548"/>
      <c r="F39" s="548"/>
      <c r="G39" s="548"/>
      <c r="H39" s="548"/>
    </row>
    <row r="40" spans="1:12" x14ac:dyDescent="0.5"/>
    <row r="41" spans="1:12" x14ac:dyDescent="0.5"/>
    <row r="42" spans="1:12" x14ac:dyDescent="0.5"/>
    <row r="43" spans="1:12" x14ac:dyDescent="0.5"/>
    <row r="44" spans="1:12" x14ac:dyDescent="0.5"/>
    <row r="45" spans="1:12" x14ac:dyDescent="0.5"/>
    <row r="46" spans="1:12" x14ac:dyDescent="0.5"/>
    <row r="47" spans="1:12" x14ac:dyDescent="0.5"/>
    <row r="48" spans="1:12" x14ac:dyDescent="0.5"/>
    <row r="49" x14ac:dyDescent="0.5"/>
    <row r="50" x14ac:dyDescent="0.5"/>
    <row r="51" x14ac:dyDescent="0.5"/>
    <row r="52" x14ac:dyDescent="0.5"/>
    <row r="53" x14ac:dyDescent="0.5"/>
    <row r="54" x14ac:dyDescent="0.5"/>
    <row r="55" x14ac:dyDescent="0.5"/>
    <row r="56" x14ac:dyDescent="0.5"/>
    <row r="57" x14ac:dyDescent="0.5"/>
    <row r="58" x14ac:dyDescent="0.5"/>
    <row r="59" x14ac:dyDescent="0.5"/>
    <row r="60" x14ac:dyDescent="0.5"/>
    <row r="61" x14ac:dyDescent="0.5"/>
    <row r="62" x14ac:dyDescent="0.5"/>
  </sheetData>
  <sheetProtection formatCells="0" formatRows="0" insertRows="0" deleteRows="0"/>
  <mergeCells count="36">
    <mergeCell ref="A31:C31"/>
    <mergeCell ref="A32:H32"/>
    <mergeCell ref="A33:H33"/>
    <mergeCell ref="A34:H34"/>
    <mergeCell ref="A28:C28"/>
    <mergeCell ref="D28:E28"/>
    <mergeCell ref="F28:F29"/>
    <mergeCell ref="G28:G29"/>
    <mergeCell ref="H28:H29"/>
    <mergeCell ref="A25:B25"/>
    <mergeCell ref="C25:H25"/>
    <mergeCell ref="A27:C27"/>
    <mergeCell ref="D27:F27"/>
    <mergeCell ref="G27:H27"/>
    <mergeCell ref="A38:H39"/>
    <mergeCell ref="A6:C6"/>
    <mergeCell ref="D6:F6"/>
    <mergeCell ref="G6:H6"/>
    <mergeCell ref="A7:C7"/>
    <mergeCell ref="D7:E7"/>
    <mergeCell ref="F7:F8"/>
    <mergeCell ref="G7:G8"/>
    <mergeCell ref="H7:H8"/>
    <mergeCell ref="A18:C18"/>
    <mergeCell ref="A19:H19"/>
    <mergeCell ref="A20:H20"/>
    <mergeCell ref="A21:H21"/>
    <mergeCell ref="A37:H37"/>
    <mergeCell ref="A24:B24"/>
    <mergeCell ref="C24:H24"/>
    <mergeCell ref="A1:H1"/>
    <mergeCell ref="A2:H2"/>
    <mergeCell ref="A3:B3"/>
    <mergeCell ref="C3:H3"/>
    <mergeCell ref="A4:B4"/>
    <mergeCell ref="C4:H4"/>
  </mergeCells>
  <dataValidations count="1">
    <dataValidation type="list" allowBlank="1" showInputMessage="1" showErrorMessage="1" sqref="AN8:AN9">
      <formula1>$AN$8:$AN$9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'[5]AÇÕES ESTRATÉGICAS - DESCRIÇÃO '!#REF!</xm:f>
          </x14:formula1>
          <xm:sqref>C9:C17 C30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>
    <tabColor rgb="FFFFFF00"/>
  </sheetPr>
  <dimension ref="A1:AN52"/>
  <sheetViews>
    <sheetView showGridLines="0" topLeftCell="A31" zoomScale="80" zoomScaleNormal="80" zoomScaleSheetLayoutView="80" workbookViewId="0">
      <selection activeCell="E40" activeCellId="12" sqref="E9:E27 E29 E30 E31 E32 E33 E34 E35 E36 E37 E38 E39 E40"/>
    </sheetView>
  </sheetViews>
  <sheetFormatPr defaultColWidth="0" defaultRowHeight="25.8" zeroHeight="1" x14ac:dyDescent="0.5"/>
  <cols>
    <col min="1" max="1" width="18.44140625" style="265" customWidth="1"/>
    <col min="2" max="2" width="77.44140625" style="265" customWidth="1"/>
    <col min="3" max="3" width="22.109375" style="265" customWidth="1"/>
    <col min="4" max="4" width="18.44140625" style="265" customWidth="1"/>
    <col min="5" max="5" width="28.21875" style="265" customWidth="1"/>
    <col min="6" max="6" width="14.33203125" style="265" customWidth="1"/>
    <col min="7" max="8" width="18.109375" style="289" hidden="1" customWidth="1"/>
    <col min="9" max="9" width="10.33203125" style="265" bestFit="1" customWidth="1"/>
    <col min="10" max="40" width="0" style="266" hidden="1" customWidth="1"/>
    <col min="41" max="16384" width="36.88671875" style="266" hidden="1"/>
  </cols>
  <sheetData>
    <row r="1" spans="1:40" x14ac:dyDescent="0.5">
      <c r="A1" s="531" t="s">
        <v>559</v>
      </c>
      <c r="B1" s="532"/>
      <c r="C1" s="532"/>
      <c r="D1" s="532"/>
      <c r="E1" s="532"/>
      <c r="F1" s="532"/>
      <c r="G1" s="532"/>
      <c r="H1" s="533"/>
    </row>
    <row r="2" spans="1:40" ht="63.75" customHeight="1" x14ac:dyDescent="0.5">
      <c r="A2" s="534" t="s">
        <v>560</v>
      </c>
      <c r="B2" s="534"/>
      <c r="C2" s="534"/>
      <c r="D2" s="534"/>
      <c r="E2" s="534"/>
      <c r="F2" s="534"/>
      <c r="G2" s="534"/>
      <c r="H2" s="535"/>
    </row>
    <row r="3" spans="1:40" x14ac:dyDescent="0.5">
      <c r="A3" s="536" t="s">
        <v>561</v>
      </c>
      <c r="B3" s="537"/>
      <c r="C3" s="557" t="s">
        <v>628</v>
      </c>
      <c r="D3" s="557"/>
      <c r="E3" s="557"/>
      <c r="F3" s="557"/>
      <c r="G3" s="557"/>
      <c r="H3" s="558"/>
      <c r="N3" s="267"/>
      <c r="O3" s="268"/>
      <c r="P3" s="268"/>
      <c r="Q3" s="268"/>
      <c r="R3" s="268"/>
      <c r="S3" s="268"/>
      <c r="T3" s="268"/>
      <c r="U3" s="268"/>
      <c r="V3" s="268"/>
      <c r="W3" s="268"/>
    </row>
    <row r="4" spans="1:40" ht="30.75" customHeight="1" x14ac:dyDescent="0.5">
      <c r="A4" s="537" t="s">
        <v>34</v>
      </c>
      <c r="B4" s="537"/>
      <c r="C4" s="538" t="str">
        <f>'Quadro Geral'!E63</f>
        <v>Aprimorar e inovar os processos e as ações</v>
      </c>
      <c r="D4" s="538"/>
      <c r="E4" s="538"/>
      <c r="F4" s="538"/>
      <c r="G4" s="538"/>
      <c r="H4" s="539"/>
      <c r="V4" s="268"/>
      <c r="W4" s="268"/>
    </row>
    <row r="5" spans="1:40" s="272" customFormat="1" ht="49.5" customHeight="1" x14ac:dyDescent="0.5">
      <c r="A5" s="269"/>
      <c r="B5" s="269"/>
      <c r="C5" s="269"/>
      <c r="D5" s="270"/>
      <c r="E5" s="270"/>
      <c r="F5" s="270"/>
      <c r="G5" s="270" t="s">
        <v>155</v>
      </c>
      <c r="H5" s="270"/>
      <c r="I5" s="271"/>
      <c r="N5" s="273"/>
      <c r="O5" s="274"/>
      <c r="P5" s="274"/>
      <c r="Q5" s="274"/>
      <c r="R5" s="274"/>
      <c r="S5" s="274"/>
      <c r="T5" s="274"/>
      <c r="U5" s="274"/>
      <c r="V5" s="274"/>
      <c r="W5" s="274"/>
    </row>
    <row r="6" spans="1:40" x14ac:dyDescent="0.5">
      <c r="A6" s="540" t="s">
        <v>562</v>
      </c>
      <c r="B6" s="541"/>
      <c r="C6" s="541"/>
      <c r="D6" s="540" t="s">
        <v>563</v>
      </c>
      <c r="E6" s="541"/>
      <c r="F6" s="542"/>
      <c r="G6" s="543" t="s">
        <v>564</v>
      </c>
      <c r="H6" s="544"/>
      <c r="M6" s="274"/>
      <c r="N6" s="274"/>
      <c r="O6" s="274"/>
      <c r="P6" s="274"/>
      <c r="Q6" s="274"/>
      <c r="R6" s="274"/>
      <c r="S6" s="274"/>
      <c r="T6" s="274"/>
      <c r="U6" s="268"/>
      <c r="V6" s="268"/>
      <c r="W6" s="268"/>
    </row>
    <row r="7" spans="1:40" x14ac:dyDescent="0.5">
      <c r="A7" s="540" t="s">
        <v>565</v>
      </c>
      <c r="B7" s="541"/>
      <c r="C7" s="542"/>
      <c r="D7" s="540" t="s">
        <v>566</v>
      </c>
      <c r="E7" s="542"/>
      <c r="F7" s="545" t="s">
        <v>567</v>
      </c>
      <c r="G7" s="546" t="s">
        <v>568</v>
      </c>
      <c r="H7" s="546" t="s">
        <v>569</v>
      </c>
      <c r="M7" s="274"/>
      <c r="N7" s="274"/>
      <c r="O7" s="274"/>
      <c r="P7" s="274"/>
      <c r="Q7" s="274"/>
      <c r="R7" s="274"/>
      <c r="S7" s="274"/>
      <c r="T7" s="274"/>
      <c r="U7" s="268"/>
      <c r="V7" s="268"/>
      <c r="W7" s="268"/>
    </row>
    <row r="8" spans="1:40" ht="63" customHeight="1" x14ac:dyDescent="0.5">
      <c r="A8" s="275" t="s">
        <v>570</v>
      </c>
      <c r="B8" s="275" t="s">
        <v>571</v>
      </c>
      <c r="C8" s="276" t="s">
        <v>572</v>
      </c>
      <c r="D8" s="275" t="s">
        <v>573</v>
      </c>
      <c r="E8" s="275" t="s">
        <v>574</v>
      </c>
      <c r="F8" s="545"/>
      <c r="G8" s="547"/>
      <c r="H8" s="547"/>
      <c r="M8" s="274"/>
      <c r="N8" s="274"/>
      <c r="O8" s="274"/>
      <c r="P8" s="274"/>
      <c r="Q8" s="274"/>
      <c r="R8" s="274"/>
      <c r="S8" s="274"/>
      <c r="T8" s="274"/>
      <c r="U8" s="268"/>
      <c r="V8" s="268"/>
      <c r="W8" s="268"/>
      <c r="AN8" s="266" t="s">
        <v>72</v>
      </c>
    </row>
    <row r="9" spans="1:40" ht="32.25" customHeight="1" x14ac:dyDescent="0.5">
      <c r="A9" s="12"/>
      <c r="B9" s="309" t="s">
        <v>630</v>
      </c>
      <c r="C9" s="12"/>
      <c r="D9" s="13">
        <v>0</v>
      </c>
      <c r="E9" s="13">
        <v>8500</v>
      </c>
      <c r="F9" s="277">
        <f t="shared" ref="F9:F43" si="0">IFERROR(E9/D9*100-100,)</f>
        <v>0</v>
      </c>
      <c r="G9" s="13"/>
      <c r="H9" s="278">
        <f t="shared" ref="H9:H43" si="1">IFERROR(G9/E9*100,)</f>
        <v>0</v>
      </c>
      <c r="M9" s="274"/>
      <c r="N9" s="267"/>
      <c r="O9" s="268"/>
      <c r="P9" s="268"/>
      <c r="Q9" s="268"/>
      <c r="R9" s="268"/>
      <c r="S9" s="268"/>
      <c r="T9" s="268"/>
      <c r="U9" s="268"/>
      <c r="V9" s="268"/>
      <c r="W9" s="268"/>
      <c r="AN9" s="266" t="s">
        <v>575</v>
      </c>
    </row>
    <row r="10" spans="1:40" ht="32.25" customHeight="1" x14ac:dyDescent="0.5">
      <c r="A10" s="12"/>
      <c r="B10" s="310" t="s">
        <v>631</v>
      </c>
      <c r="C10" s="12"/>
      <c r="D10" s="13">
        <v>0</v>
      </c>
      <c r="E10" s="13">
        <v>36000</v>
      </c>
      <c r="F10" s="277">
        <f t="shared" si="0"/>
        <v>0</v>
      </c>
      <c r="G10" s="13"/>
      <c r="H10" s="278">
        <f t="shared" si="1"/>
        <v>0</v>
      </c>
      <c r="N10" s="267"/>
      <c r="O10" s="268"/>
      <c r="P10" s="268"/>
      <c r="Q10" s="268"/>
      <c r="R10" s="268"/>
      <c r="S10" s="268"/>
      <c r="T10" s="268"/>
      <c r="U10" s="268"/>
      <c r="V10" s="268"/>
      <c r="W10" s="268"/>
      <c r="AN10" s="266" t="s">
        <v>576</v>
      </c>
    </row>
    <row r="11" spans="1:40" ht="32.25" customHeight="1" x14ac:dyDescent="0.5">
      <c r="A11" s="12"/>
      <c r="B11" s="311" t="s">
        <v>632</v>
      </c>
      <c r="C11" s="12"/>
      <c r="D11" s="13">
        <v>0</v>
      </c>
      <c r="E11" s="13">
        <v>6000</v>
      </c>
      <c r="F11" s="277"/>
      <c r="G11" s="13"/>
      <c r="H11" s="278"/>
      <c r="N11" s="267"/>
      <c r="O11" s="268"/>
      <c r="P11" s="268"/>
      <c r="Q11" s="268"/>
      <c r="R11" s="268"/>
      <c r="S11" s="268"/>
      <c r="T11" s="268"/>
      <c r="U11" s="268"/>
      <c r="V11" s="268"/>
      <c r="W11" s="268"/>
    </row>
    <row r="12" spans="1:40" ht="32.25" customHeight="1" x14ac:dyDescent="0.5">
      <c r="A12" s="12"/>
      <c r="B12" s="311" t="s">
        <v>633</v>
      </c>
      <c r="C12" s="12"/>
      <c r="D12" s="13">
        <v>0</v>
      </c>
      <c r="E12" s="13">
        <v>224000</v>
      </c>
      <c r="F12" s="277"/>
      <c r="G12" s="13"/>
      <c r="H12" s="278"/>
      <c r="N12" s="267"/>
      <c r="O12" s="268"/>
      <c r="P12" s="268"/>
      <c r="Q12" s="268"/>
      <c r="R12" s="268"/>
      <c r="S12" s="268"/>
      <c r="T12" s="268"/>
      <c r="U12" s="268"/>
      <c r="V12" s="268"/>
      <c r="W12" s="268"/>
    </row>
    <row r="13" spans="1:40" ht="32.25" customHeight="1" x14ac:dyDescent="0.5">
      <c r="A13" s="12"/>
      <c r="B13" s="311" t="s">
        <v>634</v>
      </c>
      <c r="C13" s="12"/>
      <c r="D13" s="13">
        <v>0</v>
      </c>
      <c r="E13" s="13">
        <v>45840</v>
      </c>
      <c r="F13" s="277"/>
      <c r="G13" s="13"/>
      <c r="H13" s="278"/>
      <c r="N13" s="267"/>
      <c r="O13" s="268"/>
      <c r="P13" s="268"/>
      <c r="Q13" s="268"/>
      <c r="R13" s="268"/>
      <c r="S13" s="268"/>
      <c r="T13" s="268"/>
      <c r="U13" s="268"/>
      <c r="V13" s="268"/>
      <c r="W13" s="268"/>
    </row>
    <row r="14" spans="1:40" ht="32.25" customHeight="1" x14ac:dyDescent="0.5">
      <c r="A14" s="12"/>
      <c r="B14" s="311" t="s">
        <v>635</v>
      </c>
      <c r="C14" s="12"/>
      <c r="D14" s="13">
        <v>0</v>
      </c>
      <c r="E14" s="13">
        <v>4570</v>
      </c>
      <c r="F14" s="277"/>
      <c r="G14" s="13"/>
      <c r="H14" s="278"/>
      <c r="N14" s="267"/>
      <c r="O14" s="268"/>
      <c r="P14" s="268"/>
      <c r="Q14" s="268"/>
      <c r="R14" s="268"/>
      <c r="S14" s="268"/>
      <c r="T14" s="268"/>
      <c r="U14" s="268"/>
      <c r="V14" s="268"/>
      <c r="W14" s="268"/>
    </row>
    <row r="15" spans="1:40" ht="32.25" customHeight="1" x14ac:dyDescent="0.5">
      <c r="A15" s="12"/>
      <c r="B15" s="312" t="s">
        <v>636</v>
      </c>
      <c r="C15" s="12"/>
      <c r="D15" s="13">
        <v>0</v>
      </c>
      <c r="E15" s="13">
        <v>3500</v>
      </c>
      <c r="F15" s="277"/>
      <c r="G15" s="13"/>
      <c r="H15" s="278"/>
      <c r="N15" s="267"/>
      <c r="O15" s="268"/>
      <c r="P15" s="268"/>
      <c r="Q15" s="268"/>
      <c r="R15" s="268"/>
      <c r="S15" s="268"/>
      <c r="T15" s="268"/>
      <c r="U15" s="268"/>
      <c r="V15" s="268"/>
      <c r="W15" s="268"/>
    </row>
    <row r="16" spans="1:40" ht="32.25" customHeight="1" x14ac:dyDescent="0.5">
      <c r="A16" s="12"/>
      <c r="B16" s="312" t="s">
        <v>637</v>
      </c>
      <c r="C16" s="12"/>
      <c r="D16" s="13">
        <v>0</v>
      </c>
      <c r="E16" s="13">
        <v>12600</v>
      </c>
      <c r="F16" s="277"/>
      <c r="G16" s="13"/>
      <c r="H16" s="278"/>
      <c r="N16" s="267"/>
      <c r="O16" s="268"/>
      <c r="P16" s="268"/>
      <c r="Q16" s="268"/>
      <c r="R16" s="268"/>
      <c r="S16" s="268"/>
      <c r="T16" s="268"/>
      <c r="U16" s="268"/>
      <c r="V16" s="268"/>
      <c r="W16" s="268"/>
    </row>
    <row r="17" spans="1:23" ht="32.25" customHeight="1" x14ac:dyDescent="0.5">
      <c r="A17" s="12"/>
      <c r="B17" s="567" t="s">
        <v>638</v>
      </c>
      <c r="C17" s="12"/>
      <c r="D17" s="13">
        <v>0</v>
      </c>
      <c r="E17" s="13">
        <v>79992</v>
      </c>
      <c r="F17" s="277"/>
      <c r="G17" s="13"/>
      <c r="H17" s="278"/>
      <c r="N17" s="267"/>
      <c r="O17" s="268"/>
      <c r="P17" s="268"/>
      <c r="Q17" s="268"/>
      <c r="R17" s="268"/>
      <c r="S17" s="268"/>
      <c r="T17" s="268"/>
      <c r="U17" s="268"/>
      <c r="V17" s="268"/>
      <c r="W17" s="268"/>
    </row>
    <row r="18" spans="1:23" ht="32.25" customHeight="1" x14ac:dyDescent="0.5">
      <c r="A18" s="12"/>
      <c r="B18" s="567"/>
      <c r="C18" s="12"/>
      <c r="D18" s="13">
        <v>0</v>
      </c>
      <c r="E18" s="13">
        <v>36000</v>
      </c>
      <c r="F18" s="277"/>
      <c r="G18" s="13"/>
      <c r="H18" s="278"/>
      <c r="N18" s="267"/>
      <c r="O18" s="268"/>
      <c r="P18" s="268"/>
      <c r="Q18" s="268"/>
      <c r="R18" s="268"/>
      <c r="S18" s="268"/>
      <c r="T18" s="268"/>
      <c r="U18" s="268"/>
      <c r="V18" s="268"/>
      <c r="W18" s="268"/>
    </row>
    <row r="19" spans="1:23" ht="32.25" customHeight="1" x14ac:dyDescent="0.5">
      <c r="A19" s="12"/>
      <c r="B19" s="312" t="s">
        <v>639</v>
      </c>
      <c r="C19" s="12"/>
      <c r="D19" s="13">
        <v>0</v>
      </c>
      <c r="E19" s="13">
        <v>147000</v>
      </c>
      <c r="F19" s="277"/>
      <c r="G19" s="13"/>
      <c r="H19" s="278"/>
      <c r="N19" s="267"/>
      <c r="O19" s="268"/>
      <c r="P19" s="268"/>
      <c r="Q19" s="268"/>
      <c r="R19" s="268"/>
      <c r="S19" s="268"/>
      <c r="T19" s="268"/>
      <c r="U19" s="268"/>
      <c r="V19" s="268"/>
      <c r="W19" s="268"/>
    </row>
    <row r="20" spans="1:23" ht="32.25" customHeight="1" x14ac:dyDescent="0.5">
      <c r="A20" s="12"/>
      <c r="B20" s="312" t="s">
        <v>640</v>
      </c>
      <c r="C20" s="12"/>
      <c r="D20" s="13">
        <v>0</v>
      </c>
      <c r="E20" s="13">
        <v>0</v>
      </c>
      <c r="F20" s="277"/>
      <c r="G20" s="13"/>
      <c r="H20" s="278"/>
      <c r="N20" s="267"/>
      <c r="O20" s="268"/>
      <c r="P20" s="268"/>
      <c r="Q20" s="268"/>
      <c r="R20" s="268"/>
      <c r="S20" s="268"/>
      <c r="T20" s="268"/>
      <c r="U20" s="268"/>
      <c r="V20" s="268"/>
      <c r="W20" s="268"/>
    </row>
    <row r="21" spans="1:23" ht="32.25" customHeight="1" x14ac:dyDescent="0.5">
      <c r="A21" s="12"/>
      <c r="B21" s="310" t="s">
        <v>641</v>
      </c>
      <c r="C21" s="12"/>
      <c r="D21" s="13">
        <v>0</v>
      </c>
      <c r="E21" s="13">
        <v>5580</v>
      </c>
      <c r="F21" s="277"/>
      <c r="G21" s="13"/>
      <c r="H21" s="278"/>
      <c r="N21" s="267"/>
      <c r="O21" s="268"/>
      <c r="P21" s="268"/>
      <c r="Q21" s="268"/>
      <c r="R21" s="268"/>
      <c r="S21" s="268"/>
      <c r="T21" s="268"/>
      <c r="U21" s="268"/>
      <c r="V21" s="268"/>
      <c r="W21" s="268"/>
    </row>
    <row r="22" spans="1:23" ht="32.25" customHeight="1" x14ac:dyDescent="0.5">
      <c r="A22" s="12"/>
      <c r="B22" s="312" t="s">
        <v>642</v>
      </c>
      <c r="C22" s="12"/>
      <c r="D22" s="13">
        <v>0</v>
      </c>
      <c r="E22" s="13">
        <v>19200</v>
      </c>
      <c r="F22" s="277"/>
      <c r="G22" s="13"/>
      <c r="H22" s="278"/>
      <c r="N22" s="267"/>
      <c r="O22" s="268"/>
      <c r="P22" s="268"/>
      <c r="Q22" s="268"/>
      <c r="R22" s="268"/>
      <c r="S22" s="268"/>
      <c r="T22" s="268"/>
      <c r="U22" s="268"/>
      <c r="V22" s="268"/>
      <c r="W22" s="268"/>
    </row>
    <row r="23" spans="1:23" ht="32.25" customHeight="1" x14ac:dyDescent="0.5">
      <c r="A23" s="12"/>
      <c r="B23" s="312" t="s">
        <v>643</v>
      </c>
      <c r="C23" s="12"/>
      <c r="D23" s="13">
        <v>0</v>
      </c>
      <c r="E23" s="13">
        <v>12000</v>
      </c>
      <c r="F23" s="277"/>
      <c r="G23" s="13"/>
      <c r="H23" s="278"/>
      <c r="N23" s="267"/>
      <c r="O23" s="268"/>
      <c r="P23" s="268"/>
      <c r="Q23" s="268"/>
      <c r="R23" s="268"/>
      <c r="S23" s="268"/>
      <c r="T23" s="268"/>
      <c r="U23" s="268"/>
      <c r="V23" s="268"/>
      <c r="W23" s="268"/>
    </row>
    <row r="24" spans="1:23" ht="32.25" customHeight="1" x14ac:dyDescent="0.5">
      <c r="A24" s="12"/>
      <c r="B24" s="312" t="s">
        <v>644</v>
      </c>
      <c r="C24" s="12"/>
      <c r="D24" s="13">
        <v>0</v>
      </c>
      <c r="E24" s="13">
        <v>100000</v>
      </c>
      <c r="F24" s="277"/>
      <c r="G24" s="13"/>
      <c r="H24" s="278"/>
      <c r="N24" s="267"/>
      <c r="O24" s="268"/>
      <c r="P24" s="268"/>
      <c r="Q24" s="268"/>
      <c r="R24" s="268"/>
      <c r="S24" s="268"/>
      <c r="T24" s="268"/>
      <c r="U24" s="268"/>
      <c r="V24" s="268"/>
      <c r="W24" s="268"/>
    </row>
    <row r="25" spans="1:23" ht="32.25" customHeight="1" x14ac:dyDescent="0.5">
      <c r="A25" s="12"/>
      <c r="B25" s="312" t="s">
        <v>645</v>
      </c>
      <c r="C25" s="12"/>
      <c r="D25" s="13">
        <v>0</v>
      </c>
      <c r="E25" s="13">
        <v>45000</v>
      </c>
      <c r="F25" s="277"/>
      <c r="G25" s="13"/>
      <c r="H25" s="278"/>
      <c r="N25" s="267"/>
      <c r="O25" s="268"/>
      <c r="P25" s="268"/>
      <c r="Q25" s="268"/>
      <c r="R25" s="268"/>
      <c r="S25" s="268"/>
      <c r="T25" s="268"/>
      <c r="U25" s="268"/>
      <c r="V25" s="268"/>
      <c r="W25" s="268"/>
    </row>
    <row r="26" spans="1:23" ht="32.25" customHeight="1" x14ac:dyDescent="0.5">
      <c r="A26" s="12"/>
      <c r="B26" s="312" t="s">
        <v>646</v>
      </c>
      <c r="C26" s="12"/>
      <c r="D26" s="13">
        <v>0</v>
      </c>
      <c r="E26" s="13">
        <v>30000</v>
      </c>
      <c r="F26" s="277"/>
      <c r="G26" s="13"/>
      <c r="H26" s="278"/>
      <c r="N26" s="267"/>
      <c r="O26" s="268"/>
      <c r="P26" s="268"/>
      <c r="Q26" s="268"/>
      <c r="R26" s="268"/>
      <c r="S26" s="268"/>
      <c r="T26" s="268"/>
      <c r="U26" s="268"/>
      <c r="V26" s="268"/>
      <c r="W26" s="268"/>
    </row>
    <row r="27" spans="1:23" ht="32.25" customHeight="1" x14ac:dyDescent="0.5">
      <c r="A27" s="12"/>
      <c r="B27" s="312" t="s">
        <v>647</v>
      </c>
      <c r="C27" s="12"/>
      <c r="D27" s="13">
        <v>0</v>
      </c>
      <c r="E27" s="13">
        <v>18000</v>
      </c>
      <c r="F27" s="277"/>
      <c r="G27" s="13"/>
      <c r="H27" s="278"/>
      <c r="N27" s="267"/>
      <c r="O27" s="268"/>
      <c r="P27" s="268"/>
      <c r="Q27" s="268"/>
      <c r="R27" s="268"/>
      <c r="S27" s="268"/>
      <c r="T27" s="268"/>
      <c r="U27" s="268"/>
      <c r="V27" s="268"/>
      <c r="W27" s="268"/>
    </row>
    <row r="28" spans="1:23" ht="32.25" customHeight="1" x14ac:dyDescent="0.5">
      <c r="A28" s="12"/>
      <c r="B28" s="312" t="s">
        <v>648</v>
      </c>
      <c r="C28" s="12"/>
      <c r="D28" s="13">
        <v>0</v>
      </c>
      <c r="E28" s="13">
        <v>137000</v>
      </c>
      <c r="F28" s="277"/>
      <c r="G28" s="13"/>
      <c r="H28" s="278"/>
      <c r="N28" s="267"/>
      <c r="O28" s="268"/>
      <c r="P28" s="268"/>
      <c r="Q28" s="268"/>
      <c r="R28" s="268"/>
      <c r="S28" s="268"/>
      <c r="T28" s="268"/>
      <c r="U28" s="268"/>
      <c r="V28" s="268"/>
      <c r="W28" s="268"/>
    </row>
    <row r="29" spans="1:23" ht="32.25" customHeight="1" x14ac:dyDescent="0.5">
      <c r="A29" s="12"/>
      <c r="B29" s="310" t="s">
        <v>649</v>
      </c>
      <c r="C29" s="12"/>
      <c r="D29" s="13">
        <v>0</v>
      </c>
      <c r="E29" s="13">
        <v>14400</v>
      </c>
      <c r="F29" s="277"/>
      <c r="G29" s="13"/>
      <c r="H29" s="278"/>
      <c r="N29" s="267"/>
      <c r="O29" s="268"/>
      <c r="P29" s="268"/>
      <c r="Q29" s="268"/>
      <c r="R29" s="268"/>
      <c r="S29" s="268"/>
      <c r="T29" s="268"/>
      <c r="U29" s="268"/>
      <c r="V29" s="268"/>
      <c r="W29" s="268"/>
    </row>
    <row r="30" spans="1:23" ht="32.25" customHeight="1" x14ac:dyDescent="0.5">
      <c r="A30" s="12"/>
      <c r="B30" s="312" t="s">
        <v>650</v>
      </c>
      <c r="C30" s="12"/>
      <c r="D30" s="13">
        <v>0</v>
      </c>
      <c r="E30" s="13">
        <v>18000</v>
      </c>
      <c r="F30" s="277"/>
      <c r="G30" s="13"/>
      <c r="H30" s="278"/>
      <c r="N30" s="267"/>
      <c r="O30" s="268"/>
      <c r="P30" s="268"/>
      <c r="Q30" s="268"/>
      <c r="R30" s="268"/>
      <c r="S30" s="268"/>
      <c r="T30" s="268"/>
      <c r="U30" s="268"/>
      <c r="V30" s="268"/>
      <c r="W30" s="268"/>
    </row>
    <row r="31" spans="1:23" ht="32.25" customHeight="1" x14ac:dyDescent="0.5">
      <c r="A31" s="12"/>
      <c r="B31" s="313" t="s">
        <v>651</v>
      </c>
      <c r="C31" s="12"/>
      <c r="D31" s="13">
        <v>0</v>
      </c>
      <c r="E31" s="13">
        <v>100000</v>
      </c>
      <c r="F31" s="277"/>
      <c r="G31" s="13"/>
      <c r="H31" s="278"/>
      <c r="N31" s="267"/>
      <c r="O31" s="268"/>
      <c r="P31" s="268"/>
      <c r="Q31" s="268"/>
      <c r="R31" s="268"/>
      <c r="S31" s="268"/>
      <c r="T31" s="268"/>
      <c r="U31" s="268"/>
      <c r="V31" s="268"/>
      <c r="W31" s="268"/>
    </row>
    <row r="32" spans="1:23" ht="32.25" customHeight="1" x14ac:dyDescent="0.5">
      <c r="A32" s="12"/>
      <c r="B32" s="312" t="s">
        <v>652</v>
      </c>
      <c r="C32" s="12"/>
      <c r="D32" s="13">
        <v>0</v>
      </c>
      <c r="E32" s="13">
        <v>45000</v>
      </c>
      <c r="F32" s="277"/>
      <c r="G32" s="13"/>
      <c r="H32" s="278"/>
      <c r="N32" s="267"/>
      <c r="O32" s="268"/>
      <c r="P32" s="268"/>
      <c r="Q32" s="268"/>
      <c r="R32" s="268"/>
      <c r="S32" s="268"/>
      <c r="T32" s="268"/>
      <c r="U32" s="268"/>
      <c r="V32" s="268"/>
      <c r="W32" s="268"/>
    </row>
    <row r="33" spans="1:23" ht="32.25" customHeight="1" x14ac:dyDescent="0.5">
      <c r="A33" s="12"/>
      <c r="B33" s="312" t="s">
        <v>653</v>
      </c>
      <c r="C33" s="12"/>
      <c r="D33" s="13">
        <v>0</v>
      </c>
      <c r="E33" s="13">
        <v>52002</v>
      </c>
      <c r="F33" s="277"/>
      <c r="G33" s="13"/>
      <c r="H33" s="278"/>
      <c r="N33" s="267"/>
      <c r="O33" s="268"/>
      <c r="P33" s="268"/>
      <c r="Q33" s="268"/>
      <c r="R33" s="268"/>
      <c r="S33" s="268"/>
      <c r="T33" s="268"/>
      <c r="U33" s="268"/>
      <c r="V33" s="268"/>
      <c r="W33" s="268"/>
    </row>
    <row r="34" spans="1:23" ht="32.25" customHeight="1" x14ac:dyDescent="0.5">
      <c r="A34" s="12"/>
      <c r="B34" s="313" t="s">
        <v>654</v>
      </c>
      <c r="C34" s="12"/>
      <c r="D34" s="13">
        <v>0</v>
      </c>
      <c r="E34" s="13">
        <v>22260</v>
      </c>
      <c r="F34" s="277"/>
      <c r="G34" s="13"/>
      <c r="H34" s="278"/>
      <c r="N34" s="267"/>
      <c r="O34" s="268"/>
      <c r="P34" s="268"/>
      <c r="Q34" s="268"/>
      <c r="R34" s="268"/>
      <c r="S34" s="268"/>
      <c r="T34" s="268"/>
      <c r="U34" s="268"/>
      <c r="V34" s="268"/>
      <c r="W34" s="268"/>
    </row>
    <row r="35" spans="1:23" ht="32.25" customHeight="1" x14ac:dyDescent="0.5">
      <c r="A35" s="12"/>
      <c r="B35" s="310" t="s">
        <v>655</v>
      </c>
      <c r="C35" s="12"/>
      <c r="D35" s="13">
        <v>0</v>
      </c>
      <c r="E35" s="13">
        <v>7000</v>
      </c>
      <c r="F35" s="277"/>
      <c r="G35" s="13"/>
      <c r="H35" s="278"/>
      <c r="N35" s="267"/>
      <c r="O35" s="268"/>
      <c r="P35" s="268"/>
      <c r="Q35" s="268"/>
      <c r="R35" s="268"/>
      <c r="S35" s="268"/>
      <c r="T35" s="268"/>
      <c r="U35" s="268"/>
      <c r="V35" s="268"/>
      <c r="W35" s="268"/>
    </row>
    <row r="36" spans="1:23" ht="32.25" customHeight="1" x14ac:dyDescent="0.5">
      <c r="A36" s="12"/>
      <c r="B36" s="310" t="s">
        <v>656</v>
      </c>
      <c r="C36" s="12"/>
      <c r="D36" s="13">
        <v>0</v>
      </c>
      <c r="E36" s="13">
        <v>12000</v>
      </c>
      <c r="F36" s="277">
        <f t="shared" si="0"/>
        <v>0</v>
      </c>
      <c r="G36" s="13"/>
      <c r="H36" s="278">
        <f t="shared" si="1"/>
        <v>0</v>
      </c>
      <c r="N36" s="267"/>
      <c r="O36" s="268"/>
      <c r="P36" s="268"/>
      <c r="Q36" s="268"/>
      <c r="R36" s="268"/>
      <c r="S36" s="268"/>
      <c r="T36" s="268"/>
      <c r="U36" s="268"/>
      <c r="V36" s="268"/>
      <c r="W36" s="268"/>
    </row>
    <row r="37" spans="1:23" ht="32.25" customHeight="1" x14ac:dyDescent="0.5">
      <c r="A37" s="12"/>
      <c r="B37" s="310" t="s">
        <v>657</v>
      </c>
      <c r="C37" s="12"/>
      <c r="D37" s="13">
        <v>0</v>
      </c>
      <c r="E37" s="13">
        <v>1800</v>
      </c>
      <c r="F37" s="277">
        <f t="shared" si="0"/>
        <v>0</v>
      </c>
      <c r="G37" s="13"/>
      <c r="H37" s="278">
        <f t="shared" si="1"/>
        <v>0</v>
      </c>
      <c r="N37" s="267"/>
      <c r="O37" s="268"/>
      <c r="P37" s="268"/>
      <c r="Q37" s="268"/>
      <c r="R37" s="268"/>
      <c r="S37" s="268"/>
      <c r="T37" s="268"/>
      <c r="U37" s="268"/>
      <c r="V37" s="268"/>
      <c r="W37" s="268"/>
    </row>
    <row r="38" spans="1:23" ht="32.25" customHeight="1" x14ac:dyDescent="0.5">
      <c r="A38" s="12"/>
      <c r="B38" s="310" t="s">
        <v>658</v>
      </c>
      <c r="C38" s="12"/>
      <c r="D38" s="13">
        <v>0</v>
      </c>
      <c r="E38" s="13">
        <v>1200</v>
      </c>
      <c r="F38" s="277">
        <f t="shared" si="0"/>
        <v>0</v>
      </c>
      <c r="G38" s="13"/>
      <c r="H38" s="278">
        <f t="shared" si="1"/>
        <v>0</v>
      </c>
      <c r="N38" s="268"/>
      <c r="O38" s="268"/>
      <c r="P38" s="268"/>
      <c r="Q38" s="268"/>
      <c r="R38" s="268"/>
      <c r="S38" s="268"/>
      <c r="T38" s="268"/>
      <c r="U38" s="268"/>
      <c r="V38" s="268"/>
      <c r="W38" s="268"/>
    </row>
    <row r="39" spans="1:23" ht="32.25" customHeight="1" x14ac:dyDescent="0.5">
      <c r="A39" s="12"/>
      <c r="B39" s="310" t="s">
        <v>659</v>
      </c>
      <c r="C39" s="12"/>
      <c r="D39" s="13">
        <v>0</v>
      </c>
      <c r="E39" s="13">
        <v>400</v>
      </c>
      <c r="F39" s="277">
        <f t="shared" si="0"/>
        <v>0</v>
      </c>
      <c r="G39" s="13"/>
      <c r="H39" s="278">
        <f t="shared" si="1"/>
        <v>0</v>
      </c>
      <c r="N39" s="268"/>
      <c r="O39" s="268"/>
      <c r="P39" s="268"/>
      <c r="Q39" s="268"/>
      <c r="R39" s="268"/>
      <c r="S39" s="268"/>
      <c r="T39" s="268"/>
      <c r="U39" s="268"/>
      <c r="V39" s="268"/>
      <c r="W39" s="268"/>
    </row>
    <row r="40" spans="1:23" ht="32.25" customHeight="1" x14ac:dyDescent="0.5">
      <c r="A40" s="12"/>
      <c r="B40" s="314" t="s">
        <v>660</v>
      </c>
      <c r="C40" s="12"/>
      <c r="D40" s="13">
        <v>0</v>
      </c>
      <c r="E40" s="13">
        <v>6684</v>
      </c>
      <c r="F40" s="277">
        <f t="shared" si="0"/>
        <v>0</v>
      </c>
      <c r="G40" s="13"/>
      <c r="H40" s="278">
        <f t="shared" si="1"/>
        <v>0</v>
      </c>
      <c r="N40" s="279"/>
    </row>
    <row r="41" spans="1:23" ht="32.25" customHeight="1" x14ac:dyDescent="0.5">
      <c r="A41" s="12"/>
      <c r="B41" s="312" t="s">
        <v>661</v>
      </c>
      <c r="C41" s="12"/>
      <c r="D41" s="13">
        <v>0</v>
      </c>
      <c r="E41" s="320">
        <v>1489062.36</v>
      </c>
      <c r="F41" s="277">
        <f t="shared" si="0"/>
        <v>0</v>
      </c>
      <c r="G41" s="13"/>
      <c r="H41" s="278">
        <f t="shared" si="1"/>
        <v>0</v>
      </c>
    </row>
    <row r="42" spans="1:23" ht="32.25" customHeight="1" x14ac:dyDescent="0.5">
      <c r="A42" s="12"/>
      <c r="B42" s="312" t="s">
        <v>661</v>
      </c>
      <c r="C42" s="12"/>
      <c r="D42" s="13">
        <v>0</v>
      </c>
      <c r="E42" s="13">
        <v>331390.32</v>
      </c>
      <c r="F42" s="277">
        <f t="shared" si="0"/>
        <v>0</v>
      </c>
      <c r="G42" s="13"/>
      <c r="H42" s="278">
        <f t="shared" si="1"/>
        <v>0</v>
      </c>
    </row>
    <row r="43" spans="1:23" s="284" customFormat="1" x14ac:dyDescent="0.3">
      <c r="A43" s="552" t="s">
        <v>0</v>
      </c>
      <c r="B43" s="552"/>
      <c r="C43" s="552"/>
      <c r="D43" s="280">
        <f>SUM(D9:D42)</f>
        <v>0</v>
      </c>
      <c r="E43" s="280">
        <f>SUM(E9:E42)</f>
        <v>3071980.68</v>
      </c>
      <c r="F43" s="281">
        <f t="shared" si="0"/>
        <v>0</v>
      </c>
      <c r="G43" s="280">
        <f>SUM(G9:G42)</f>
        <v>0</v>
      </c>
      <c r="H43" s="282">
        <f t="shared" si="1"/>
        <v>0</v>
      </c>
      <c r="I43" s="283"/>
    </row>
    <row r="44" spans="1:23" x14ac:dyDescent="0.5">
      <c r="A44" s="553"/>
      <c r="B44" s="553"/>
      <c r="C44" s="553"/>
      <c r="D44" s="553"/>
      <c r="E44" s="553"/>
      <c r="F44" s="553"/>
      <c r="G44" s="553"/>
      <c r="H44" s="553"/>
    </row>
    <row r="45" spans="1:23" x14ac:dyDescent="0.5">
      <c r="A45" s="554" t="s">
        <v>227</v>
      </c>
      <c r="B45" s="555"/>
      <c r="C45" s="555"/>
      <c r="D45" s="555"/>
      <c r="E45" s="555"/>
      <c r="F45" s="555"/>
      <c r="G45" s="555"/>
      <c r="H45" s="556"/>
      <c r="J45" s="285"/>
    </row>
    <row r="46" spans="1:23" x14ac:dyDescent="0.5">
      <c r="A46" s="549"/>
      <c r="B46" s="550"/>
      <c r="C46" s="550"/>
      <c r="D46" s="550"/>
      <c r="E46" s="550"/>
      <c r="F46" s="550"/>
      <c r="G46" s="550"/>
      <c r="H46" s="551"/>
    </row>
    <row r="47" spans="1:23" x14ac:dyDescent="0.5">
      <c r="A47" s="286"/>
      <c r="B47" s="286"/>
      <c r="C47" s="286"/>
      <c r="D47" s="286"/>
      <c r="E47" s="286"/>
      <c r="F47" s="286"/>
      <c r="G47" s="286"/>
      <c r="H47" s="286"/>
    </row>
    <row r="48" spans="1:23" x14ac:dyDescent="0.5">
      <c r="A48" s="554" t="s">
        <v>577</v>
      </c>
      <c r="B48" s="555"/>
      <c r="C48" s="555"/>
      <c r="D48" s="555"/>
      <c r="E48" s="555"/>
      <c r="F48" s="555"/>
      <c r="G48" s="555"/>
      <c r="H48" s="556"/>
      <c r="I48" s="287"/>
      <c r="J48" s="288"/>
      <c r="K48" s="288"/>
      <c r="L48" s="272"/>
    </row>
    <row r="49" spans="1:8" ht="129" customHeight="1" x14ac:dyDescent="0.5">
      <c r="A49" s="548" t="s">
        <v>578</v>
      </c>
      <c r="B49" s="548"/>
      <c r="C49" s="548"/>
      <c r="D49" s="548"/>
      <c r="E49" s="548"/>
      <c r="F49" s="548"/>
      <c r="G49" s="548"/>
      <c r="H49" s="548"/>
    </row>
    <row r="50" spans="1:8" ht="181.5" customHeight="1" x14ac:dyDescent="0.5">
      <c r="A50" s="548"/>
      <c r="B50" s="548"/>
      <c r="C50" s="548"/>
      <c r="D50" s="548"/>
      <c r="E50" s="548"/>
      <c r="F50" s="548"/>
      <c r="G50" s="548"/>
      <c r="H50" s="548"/>
    </row>
    <row r="51" spans="1:8" x14ac:dyDescent="0.5"/>
    <row r="52" spans="1:8" x14ac:dyDescent="0.5"/>
  </sheetData>
  <sheetProtection formatCells="0" formatRows="0" insertRows="0" deleteRows="0"/>
  <mergeCells count="21">
    <mergeCell ref="A49:H50"/>
    <mergeCell ref="A6:C6"/>
    <mergeCell ref="D6:F6"/>
    <mergeCell ref="G6:H6"/>
    <mergeCell ref="A7:C7"/>
    <mergeCell ref="D7:E7"/>
    <mergeCell ref="F7:F8"/>
    <mergeCell ref="G7:G8"/>
    <mergeCell ref="H7:H8"/>
    <mergeCell ref="B17:B18"/>
    <mergeCell ref="A43:C43"/>
    <mergeCell ref="A44:H44"/>
    <mergeCell ref="A45:H45"/>
    <mergeCell ref="A46:H46"/>
    <mergeCell ref="A48:H48"/>
    <mergeCell ref="A1:H1"/>
    <mergeCell ref="A2:H2"/>
    <mergeCell ref="A3:B3"/>
    <mergeCell ref="C3:H3"/>
    <mergeCell ref="A4:B4"/>
    <mergeCell ref="C4:H4"/>
  </mergeCells>
  <dataValidations count="1">
    <dataValidation type="list" allowBlank="1" showInputMessage="1" showErrorMessage="1" sqref="AN8:AN9">
      <formula1>$AN$8:$AN$9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'[5]AÇÕES ESTRATÉGICAS - DESCRIÇÃO '!#REF!</xm:f>
          </x14:formula1>
          <xm:sqref>C9:C42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>
    <tabColor rgb="FF7030A0"/>
  </sheetPr>
  <dimension ref="A1:AW34"/>
  <sheetViews>
    <sheetView topLeftCell="C19" zoomScale="150" zoomScaleNormal="150" workbookViewId="0">
      <selection activeCell="G29" sqref="G29"/>
    </sheetView>
  </sheetViews>
  <sheetFormatPr defaultRowHeight="15.6" x14ac:dyDescent="0.3"/>
  <cols>
    <col min="1" max="1" width="48.6640625" style="9" bestFit="1" customWidth="1"/>
    <col min="2" max="2" width="42.5546875" style="9" bestFit="1" customWidth="1"/>
    <col min="3" max="3" width="46.33203125" style="9" bestFit="1" customWidth="1"/>
    <col min="4" max="4" width="127.88671875" style="9" customWidth="1"/>
    <col min="5" max="8" width="9.109375" style="9"/>
    <col min="9" max="9" width="13.5546875" style="9" bestFit="1" customWidth="1"/>
    <col min="10" max="49" width="9.109375" style="9"/>
  </cols>
  <sheetData>
    <row r="1" spans="1:7" x14ac:dyDescent="0.3">
      <c r="A1" s="9" t="s">
        <v>94</v>
      </c>
      <c r="B1" s="10" t="s">
        <v>64</v>
      </c>
      <c r="C1" s="10" t="s">
        <v>142</v>
      </c>
      <c r="D1" s="9" t="s">
        <v>29</v>
      </c>
      <c r="E1" s="9" t="s">
        <v>311</v>
      </c>
      <c r="G1" s="9" t="s">
        <v>378</v>
      </c>
    </row>
    <row r="2" spans="1:7" x14ac:dyDescent="0.3">
      <c r="A2" s="9" t="s">
        <v>102</v>
      </c>
      <c r="B2" s="10" t="s">
        <v>41</v>
      </c>
      <c r="C2" s="10" t="s">
        <v>143</v>
      </c>
      <c r="D2" s="9" t="s">
        <v>112</v>
      </c>
      <c r="E2" s="9" t="s">
        <v>312</v>
      </c>
      <c r="G2" s="9" t="s">
        <v>376</v>
      </c>
    </row>
    <row r="3" spans="1:7" x14ac:dyDescent="0.3">
      <c r="A3" s="9" t="s">
        <v>103</v>
      </c>
      <c r="B3" s="8" t="s">
        <v>36</v>
      </c>
      <c r="C3" s="10" t="s">
        <v>113</v>
      </c>
      <c r="D3" s="9" t="s">
        <v>25</v>
      </c>
      <c r="E3" s="9" t="s">
        <v>313</v>
      </c>
      <c r="G3" s="9" t="s">
        <v>374</v>
      </c>
    </row>
    <row r="4" spans="1:7" x14ac:dyDescent="0.3">
      <c r="A4" s="9" t="s">
        <v>104</v>
      </c>
      <c r="B4" s="11" t="s">
        <v>134</v>
      </c>
      <c r="C4" s="10" t="s">
        <v>114</v>
      </c>
      <c r="D4" s="9" t="s">
        <v>28</v>
      </c>
      <c r="F4" s="9" t="s">
        <v>314</v>
      </c>
      <c r="G4" s="9" t="s">
        <v>372</v>
      </c>
    </row>
    <row r="5" spans="1:7" x14ac:dyDescent="0.3">
      <c r="A5" s="9" t="s">
        <v>95</v>
      </c>
      <c r="B5" s="11" t="s">
        <v>135</v>
      </c>
      <c r="C5" s="10" t="s">
        <v>115</v>
      </c>
      <c r="D5" s="9" t="s">
        <v>31</v>
      </c>
      <c r="F5" s="9" t="s">
        <v>315</v>
      </c>
      <c r="G5" s="9" t="s">
        <v>370</v>
      </c>
    </row>
    <row r="6" spans="1:7" x14ac:dyDescent="0.3">
      <c r="A6" s="9" t="s">
        <v>105</v>
      </c>
      <c r="B6" s="11" t="s">
        <v>136</v>
      </c>
      <c r="C6" s="10" t="s">
        <v>116</v>
      </c>
      <c r="D6" s="9" t="s">
        <v>30</v>
      </c>
      <c r="F6" s="9" t="s">
        <v>316</v>
      </c>
      <c r="G6" s="9" t="s">
        <v>368</v>
      </c>
    </row>
    <row r="7" spans="1:7" x14ac:dyDescent="0.3">
      <c r="A7" s="9" t="s">
        <v>253</v>
      </c>
      <c r="B7" s="11" t="s">
        <v>137</v>
      </c>
      <c r="C7" s="10" t="s">
        <v>117</v>
      </c>
      <c r="D7" s="9" t="s">
        <v>118</v>
      </c>
      <c r="G7" s="9" t="s">
        <v>366</v>
      </c>
    </row>
    <row r="8" spans="1:7" x14ac:dyDescent="0.3">
      <c r="A8" s="9" t="s">
        <v>96</v>
      </c>
      <c r="B8" s="11" t="s">
        <v>138</v>
      </c>
      <c r="C8" s="10" t="s">
        <v>119</v>
      </c>
      <c r="D8" s="9" t="s">
        <v>22</v>
      </c>
      <c r="G8" s="9" t="s">
        <v>365</v>
      </c>
    </row>
    <row r="9" spans="1:7" x14ac:dyDescent="0.3">
      <c r="A9" s="9" t="s">
        <v>106</v>
      </c>
      <c r="B9" s="11" t="s">
        <v>146</v>
      </c>
      <c r="C9" s="10" t="s">
        <v>120</v>
      </c>
      <c r="D9" s="9" t="s">
        <v>27</v>
      </c>
      <c r="G9" s="9" t="s">
        <v>363</v>
      </c>
    </row>
    <row r="10" spans="1:7" x14ac:dyDescent="0.3">
      <c r="A10" s="9" t="s">
        <v>97</v>
      </c>
      <c r="B10" s="10" t="s">
        <v>38</v>
      </c>
      <c r="C10" s="10" t="s">
        <v>121</v>
      </c>
      <c r="D10" s="9" t="s">
        <v>145</v>
      </c>
      <c r="G10" s="9" t="s">
        <v>362</v>
      </c>
    </row>
    <row r="11" spans="1:7" x14ac:dyDescent="0.3">
      <c r="A11" s="9" t="s">
        <v>98</v>
      </c>
      <c r="B11" s="10" t="s">
        <v>2</v>
      </c>
      <c r="C11" s="10" t="s">
        <v>122</v>
      </c>
      <c r="D11" s="9" t="s">
        <v>19</v>
      </c>
      <c r="G11" s="9" t="s">
        <v>359</v>
      </c>
    </row>
    <row r="12" spans="1:7" x14ac:dyDescent="0.3">
      <c r="A12" s="9" t="s">
        <v>107</v>
      </c>
      <c r="C12" s="10" t="s">
        <v>123</v>
      </c>
      <c r="D12" s="9" t="s">
        <v>124</v>
      </c>
      <c r="G12" s="9" t="s">
        <v>357</v>
      </c>
    </row>
    <row r="13" spans="1:7" x14ac:dyDescent="0.3">
      <c r="A13" s="9" t="s">
        <v>108</v>
      </c>
      <c r="B13" s="8"/>
      <c r="C13" s="10" t="s">
        <v>125</v>
      </c>
      <c r="D13" s="9" t="s">
        <v>26</v>
      </c>
      <c r="G13" s="9" t="s">
        <v>355</v>
      </c>
    </row>
    <row r="14" spans="1:7" x14ac:dyDescent="0.3">
      <c r="A14" s="9" t="s">
        <v>99</v>
      </c>
      <c r="B14" s="8"/>
      <c r="C14" s="10" t="s">
        <v>126</v>
      </c>
      <c r="D14" s="9" t="s">
        <v>32</v>
      </c>
      <c r="G14" s="9" t="s">
        <v>353</v>
      </c>
    </row>
    <row r="15" spans="1:7" x14ac:dyDescent="0.3">
      <c r="A15" s="9" t="s">
        <v>109</v>
      </c>
      <c r="B15" s="8"/>
      <c r="C15" s="10" t="s">
        <v>127</v>
      </c>
      <c r="D15" s="9" t="s">
        <v>20</v>
      </c>
      <c r="G15" s="9" t="s">
        <v>352</v>
      </c>
    </row>
    <row r="16" spans="1:7" x14ac:dyDescent="0.3">
      <c r="A16" s="9" t="s">
        <v>100</v>
      </c>
      <c r="B16" s="8"/>
      <c r="C16" s="10" t="s">
        <v>128</v>
      </c>
      <c r="D16" s="9" t="s">
        <v>144</v>
      </c>
      <c r="G16" s="9" t="s">
        <v>313</v>
      </c>
    </row>
    <row r="17" spans="1:7" x14ac:dyDescent="0.3">
      <c r="A17" s="9" t="s">
        <v>101</v>
      </c>
      <c r="B17" s="8"/>
      <c r="C17" s="10" t="s">
        <v>129</v>
      </c>
      <c r="G17" s="9" t="s">
        <v>351</v>
      </c>
    </row>
    <row r="18" spans="1:7" x14ac:dyDescent="0.3">
      <c r="B18" s="8"/>
      <c r="C18" s="10" t="s">
        <v>130</v>
      </c>
      <c r="G18" s="9" t="s">
        <v>350</v>
      </c>
    </row>
    <row r="19" spans="1:7" x14ac:dyDescent="0.3">
      <c r="C19" s="10" t="s">
        <v>131</v>
      </c>
      <c r="G19" s="9" t="s">
        <v>349</v>
      </c>
    </row>
    <row r="20" spans="1:7" x14ac:dyDescent="0.3">
      <c r="C20" s="10" t="s">
        <v>132</v>
      </c>
      <c r="G20" s="9" t="s">
        <v>348</v>
      </c>
    </row>
    <row r="21" spans="1:7" x14ac:dyDescent="0.3">
      <c r="C21" s="10" t="s">
        <v>133</v>
      </c>
      <c r="G21" s="9" t="s">
        <v>347</v>
      </c>
    </row>
    <row r="22" spans="1:7" x14ac:dyDescent="0.3">
      <c r="G22" s="9" t="s">
        <v>346</v>
      </c>
    </row>
    <row r="23" spans="1:7" x14ac:dyDescent="0.3">
      <c r="G23" s="9" t="s">
        <v>345</v>
      </c>
    </row>
    <row r="24" spans="1:7" x14ac:dyDescent="0.3">
      <c r="G24" s="9" t="s">
        <v>344</v>
      </c>
    </row>
    <row r="25" spans="1:7" x14ac:dyDescent="0.3">
      <c r="G25" s="9" t="s">
        <v>343</v>
      </c>
    </row>
    <row r="26" spans="1:7" x14ac:dyDescent="0.3">
      <c r="G26" s="9" t="s">
        <v>342</v>
      </c>
    </row>
    <row r="27" spans="1:7" x14ac:dyDescent="0.3">
      <c r="G27" s="9" t="s">
        <v>341</v>
      </c>
    </row>
    <row r="28" spans="1:7" x14ac:dyDescent="0.3">
      <c r="G28" s="9" t="s">
        <v>445</v>
      </c>
    </row>
    <row r="34" spans="1:1" x14ac:dyDescent="0.3">
      <c r="A34" s="9" t="s">
        <v>428</v>
      </c>
    </row>
  </sheetData>
  <sortState ref="D1:D15">
    <sortCondition ref="D1"/>
  </sortState>
  <pageMargins left="0.511811024" right="0.511811024" top="0.78740157499999996" bottom="0.78740157499999996" header="0.31496062000000002" footer="0.31496062000000002"/>
  <pageSetup paperSize="28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9">
    <tabColor rgb="FF7030A0"/>
  </sheetPr>
  <dimension ref="A1:AR36"/>
  <sheetViews>
    <sheetView showGridLines="0" topLeftCell="A2" zoomScale="120" zoomScaleNormal="120" workbookViewId="0">
      <pane xSplit="1" ySplit="2" topLeftCell="W4" activePane="bottomRight" state="frozen"/>
      <selection activeCell="H17" sqref="H17"/>
      <selection pane="topRight" activeCell="H17" sqref="H17"/>
      <selection pane="bottomLeft" activeCell="H17" sqref="H17"/>
      <selection pane="bottomRight" activeCell="J28" sqref="J28"/>
    </sheetView>
  </sheetViews>
  <sheetFormatPr defaultColWidth="9.109375" defaultRowHeight="15.6" zeroHeight="1" outlineLevelCol="1" x14ac:dyDescent="0.3"/>
  <cols>
    <col min="1" max="1" width="13.33203125" style="32" hidden="1" customWidth="1" outlineLevel="1"/>
    <col min="2" max="2" width="15.44140625" style="31" hidden="1" customWidth="1" outlineLevel="1"/>
    <col min="3" max="9" width="15.5546875" style="31" hidden="1" customWidth="1" outlineLevel="1"/>
    <col min="10" max="10" width="16.109375" style="29" hidden="1" customWidth="1" outlineLevel="1"/>
    <col min="11" max="11" width="13.33203125" style="30" hidden="1" customWidth="1" outlineLevel="1"/>
    <col min="12" max="14" width="15.44140625" style="29" hidden="1" customWidth="1" outlineLevel="1"/>
    <col min="15" max="15" width="2.33203125" style="29" hidden="1" customWidth="1" outlineLevel="1"/>
    <col min="16" max="17" width="16.44140625" style="29" hidden="1" customWidth="1" outlineLevel="1"/>
    <col min="18" max="18" width="5.6640625" style="28" hidden="1" customWidth="1" outlineLevel="1"/>
    <col min="19" max="19" width="15.44140625" style="29" hidden="1" customWidth="1" outlineLevel="1"/>
    <col min="20" max="20" width="2.88671875" style="28" hidden="1" customWidth="1" outlineLevel="1"/>
    <col min="21" max="21" width="16.109375" style="29" hidden="1" customWidth="1" outlineLevel="1"/>
    <col min="22" max="22" width="2.88671875" style="28" hidden="1" customWidth="1" outlineLevel="1"/>
    <col min="23" max="23" width="16.44140625" style="26" hidden="1" customWidth="1" outlineLevel="1"/>
    <col min="24" max="24" width="19.88671875" style="26" hidden="1" customWidth="1" outlineLevel="1"/>
    <col min="25" max="25" width="16.44140625" style="27" hidden="1" customWidth="1" outlineLevel="1"/>
    <col min="26" max="26" width="16.44140625" style="26" hidden="1" customWidth="1" outlineLevel="1"/>
    <col min="27" max="27" width="16.44140625" style="27" hidden="1" customWidth="1" outlineLevel="1"/>
    <col min="28" max="28" width="16.44140625" style="26" hidden="1" customWidth="1" outlineLevel="1"/>
    <col min="29" max="29" width="2.88671875" style="4" hidden="1" customWidth="1" outlineLevel="1"/>
    <col min="30" max="30" width="11.33203125" style="4" hidden="1" customWidth="1" outlineLevel="1"/>
    <col min="31" max="31" width="3.33203125" style="4" hidden="1" customWidth="1" outlineLevel="1"/>
    <col min="32" max="32" width="18.88671875" style="4" hidden="1" customWidth="1" outlineLevel="1"/>
    <col min="33" max="33" width="4.6640625" style="4" hidden="1" customWidth="1" outlineLevel="1"/>
    <col min="34" max="34" width="18.88671875" style="26" hidden="1" customWidth="1" outlineLevel="1"/>
    <col min="35" max="35" width="9.88671875" style="4" hidden="1" customWidth="1" outlineLevel="1"/>
    <col min="36" max="36" width="39.109375" style="6" bestFit="1" customWidth="1" collapsed="1"/>
    <col min="37" max="37" width="15.6640625" style="6" bestFit="1" customWidth="1"/>
    <col min="38" max="38" width="1" style="4" customWidth="1"/>
    <col min="39" max="39" width="39" style="6" bestFit="1" customWidth="1"/>
    <col min="40" max="40" width="15.5546875" style="4" bestFit="1" customWidth="1"/>
    <col min="41" max="43" width="9.109375" style="4"/>
    <col min="44" max="44" width="12.44140625" style="4" bestFit="1" customWidth="1"/>
    <col min="45" max="16384" width="9.109375" style="4"/>
  </cols>
  <sheetData>
    <row r="1" spans="1:44" ht="16.5" hidden="1" customHeight="1" thickBot="1" x14ac:dyDescent="0.35">
      <c r="A1" s="570" t="s">
        <v>404</v>
      </c>
      <c r="B1" s="571">
        <v>0.8</v>
      </c>
      <c r="C1" s="571"/>
      <c r="D1" s="571"/>
      <c r="E1" s="571"/>
      <c r="F1" s="571"/>
      <c r="G1" s="571"/>
      <c r="H1" s="571"/>
      <c r="I1" s="571"/>
      <c r="J1" s="571"/>
      <c r="L1" s="577" t="s">
        <v>403</v>
      </c>
      <c r="M1" s="578"/>
      <c r="N1" s="579"/>
      <c r="P1" s="578" t="s">
        <v>402</v>
      </c>
      <c r="Q1" s="578"/>
      <c r="S1" s="578" t="s">
        <v>401</v>
      </c>
      <c r="U1" s="578" t="s">
        <v>400</v>
      </c>
      <c r="W1" s="571" t="s">
        <v>399</v>
      </c>
      <c r="X1" s="571"/>
      <c r="Y1" s="571"/>
      <c r="Z1" s="571"/>
      <c r="AA1" s="571"/>
      <c r="AB1" s="571"/>
    </row>
    <row r="2" spans="1:44" s="64" customFormat="1" ht="16.2" thickBot="1" x14ac:dyDescent="0.35">
      <c r="A2" s="570"/>
      <c r="B2" s="572" t="s">
        <v>397</v>
      </c>
      <c r="C2" s="572"/>
      <c r="D2" s="572"/>
      <c r="E2" s="572" t="s">
        <v>396</v>
      </c>
      <c r="F2" s="572"/>
      <c r="G2" s="572"/>
      <c r="H2" s="573" t="s">
        <v>395</v>
      </c>
      <c r="I2" s="573" t="s">
        <v>398</v>
      </c>
      <c r="J2" s="576" t="s">
        <v>405</v>
      </c>
      <c r="K2" s="70"/>
      <c r="L2" s="580"/>
      <c r="M2" s="581"/>
      <c r="N2" s="582"/>
      <c r="O2" s="69"/>
      <c r="P2" s="581"/>
      <c r="Q2" s="581"/>
      <c r="R2" s="68"/>
      <c r="S2" s="581"/>
      <c r="T2" s="68"/>
      <c r="U2" s="581"/>
      <c r="V2" s="68"/>
      <c r="W2" s="572" t="s">
        <v>397</v>
      </c>
      <c r="X2" s="572"/>
      <c r="Y2" s="572"/>
      <c r="Z2" s="572" t="s">
        <v>396</v>
      </c>
      <c r="AA2" s="572"/>
      <c r="AB2" s="67" t="s">
        <v>395</v>
      </c>
      <c r="AD2" s="583" t="s">
        <v>369</v>
      </c>
      <c r="AF2" s="583" t="s">
        <v>394</v>
      </c>
      <c r="AH2" s="575" t="s">
        <v>424</v>
      </c>
      <c r="AJ2" s="66" t="s">
        <v>393</v>
      </c>
      <c r="AK2" s="65" t="str">
        <f>'Indicadores e Metas'!B5</f>
        <v>RS</v>
      </c>
      <c r="AM2" s="568" t="s">
        <v>392</v>
      </c>
      <c r="AN2" s="569"/>
    </row>
    <row r="3" spans="1:44" s="53" customFormat="1" ht="20.25" customHeight="1" thickBot="1" x14ac:dyDescent="0.35">
      <c r="A3" s="570"/>
      <c r="B3" s="61" t="s">
        <v>391</v>
      </c>
      <c r="C3" s="61" t="s">
        <v>390</v>
      </c>
      <c r="D3" s="61" t="s">
        <v>389</v>
      </c>
      <c r="E3" s="61" t="s">
        <v>391</v>
      </c>
      <c r="F3" s="61" t="s">
        <v>390</v>
      </c>
      <c r="G3" s="61" t="s">
        <v>389</v>
      </c>
      <c r="H3" s="574"/>
      <c r="I3" s="574"/>
      <c r="J3" s="574"/>
      <c r="K3" s="63"/>
      <c r="L3" s="61" t="s">
        <v>388</v>
      </c>
      <c r="M3" s="61" t="s">
        <v>387</v>
      </c>
      <c r="N3" s="61" t="s">
        <v>386</v>
      </c>
      <c r="O3" s="62"/>
      <c r="P3" s="73" t="s">
        <v>385</v>
      </c>
      <c r="Q3" s="73" t="s">
        <v>384</v>
      </c>
      <c r="R3" s="59"/>
      <c r="S3" s="60" t="s">
        <v>383</v>
      </c>
      <c r="T3" s="59"/>
      <c r="U3" s="60" t="s">
        <v>382</v>
      </c>
      <c r="V3" s="59"/>
      <c r="W3" s="58" t="s">
        <v>406</v>
      </c>
      <c r="X3" s="58" t="s">
        <v>407</v>
      </c>
      <c r="Y3" s="56" t="s">
        <v>381</v>
      </c>
      <c r="Z3" s="57" t="s">
        <v>380</v>
      </c>
      <c r="AA3" s="56" t="s">
        <v>381</v>
      </c>
      <c r="AB3" s="55" t="s">
        <v>380</v>
      </c>
      <c r="AD3" s="584"/>
      <c r="AF3" s="584"/>
      <c r="AH3" s="575"/>
      <c r="AJ3" s="48" t="s">
        <v>8</v>
      </c>
      <c r="AK3" s="54">
        <f>AK4+AK14+AK15+AK16</f>
        <v>15037668.950942066</v>
      </c>
      <c r="AM3" s="48" t="s">
        <v>379</v>
      </c>
      <c r="AN3" s="47">
        <f>VLOOKUP($AK$2,'Diretrizes - Resumo'!$A$4:$Q$30,16,)</f>
        <v>1177153.08</v>
      </c>
    </row>
    <row r="4" spans="1:44" ht="16.2" thickBot="1" x14ac:dyDescent="0.35">
      <c r="A4" s="38" t="s">
        <v>378</v>
      </c>
      <c r="B4" s="31">
        <f>VLOOKUP($A$4:$A$30,'[6]Anexo V-Resumo Valor 80% '!$A$4:$Q$36,5,)</f>
        <v>173779.93599999999</v>
      </c>
      <c r="C4" s="31">
        <f>VLOOKUP($A$4:$A$30,'[6]Anexo V-Resumo Valor 80% '!$A$4:$Q$36,6,)</f>
        <v>28680.296000000002</v>
      </c>
      <c r="D4" s="31">
        <f t="shared" ref="D4" si="0">B4+C4</f>
        <v>202460.23199999999</v>
      </c>
      <c r="E4" s="31">
        <f>VLOOKUP($A$4:$A$30,'[6]Anexo V-Resumo Valor 80% '!$A$4:$Q$36,11,)</f>
        <v>26559.703999999998</v>
      </c>
      <c r="F4" s="31">
        <f>VLOOKUP($A$4:$A$30,'[6]Anexo V-Resumo Valor 80% '!$A$4:$Q$36,12,)</f>
        <v>7609.2720000000008</v>
      </c>
      <c r="G4" s="31">
        <f t="shared" ref="G4" si="1">E4+F4</f>
        <v>34168.975999999995</v>
      </c>
      <c r="H4" s="31">
        <f>VLOOKUP($A$4:$A$30,'[6]Anexo V-Resumo Valor 80% '!$A$4:$Q$36,15,)</f>
        <v>235854.82</v>
      </c>
      <c r="I4" s="31">
        <f>VLOOKUP($A$4:$A$30,'[6]Anexo V-Resumo Valor 80% '!$A$4:$Q$36,17,)</f>
        <v>24707.91</v>
      </c>
      <c r="J4" s="37">
        <f t="shared" ref="J4:J30" si="2">I4+H4+G4+D4</f>
        <v>497191.93799999997</v>
      </c>
      <c r="K4" s="71">
        <f>J4-VLOOKUP($A$4:$A$30,'[6]Anexo V-Resumo Valor 80% '!$A$4:$S$36,19,)</f>
        <v>0</v>
      </c>
      <c r="L4" s="31">
        <f>VLOOKUP($A$4:$A$30,'[7]Anexo VI.I-Aporte do FA'!$A$4:$C$33,3,)</f>
        <v>9108.9120471532424</v>
      </c>
      <c r="M4" s="31">
        <f>VLOOKUP($A$4:$A$30,'[7]Anexo VI-Repasse Fundo de Apoio'!$A$4:$G$16,7,)</f>
        <v>17240</v>
      </c>
      <c r="N4" s="31">
        <f>VLOOKUP($A$4:$A$30,'[7]Anexo VI-Repasse Fundo de Apoio'!$A$4:$H$16,8,)</f>
        <v>754537.39605743252</v>
      </c>
      <c r="P4" s="31">
        <f>VLOOKUP($A$4:$A$30,'[7]Anexo VII- CSC - SERV.'!$A$4:$D$37,4,)</f>
        <v>39070.160000000003</v>
      </c>
      <c r="Q4" s="31">
        <f>VLOOKUP($A$4:$A$30,'[7]Anexo VII- CSC - SERV.'!$A$4:$F$38,6,)-P4</f>
        <v>4657.0560574324481</v>
      </c>
      <c r="R4" s="72">
        <f>VLOOKUP($A$4:$A$30,'[7]Anexo VII- CSC - SERV.'!$A$4:$F$38,6,)-(P4+Q4)</f>
        <v>0</v>
      </c>
      <c r="S4" s="31"/>
      <c r="U4" s="31">
        <f>VLOOKUP($A$4:$A$30,'[7] Anexo VIII-TARIFAS BANCÁRIAS'!$A$3:$D$35,4,)</f>
        <v>2525.3977976760007</v>
      </c>
      <c r="W4" s="35">
        <f>VLOOKUP($A$4:$A$30,'[7]Anexo III- Qde Prof_Empr_RRT'!$A$5:$X$37,3,)</f>
        <v>736</v>
      </c>
      <c r="X4" s="35">
        <f>VLOOKUP($A$4:$A$30,'[7]Anexo III- Qde Prof_Empr_RRT'!$A$5:$X$37,6,)</f>
        <v>725</v>
      </c>
      <c r="Y4" s="36">
        <f>VLOOKUP($A$4:$A$30,'[7]Anexo III- Qde Prof_Empr_RRT'!$A$5:$X$37,12,)</f>
        <v>36.137931034482762</v>
      </c>
      <c r="Z4" s="35">
        <f>VLOOKUP($A$4:$A$30,'[7]Anexo III- Qde Prof_Empr_RRT'!$A$5:$X$37,15,)</f>
        <v>146</v>
      </c>
      <c r="AA4" s="36">
        <f>VLOOKUP($A$4:$A$30,'[7]Anexo III- Qde Prof_Empr_RRT'!$A$5:$X$37,21,)</f>
        <v>52.054794520547951</v>
      </c>
      <c r="AB4" s="35">
        <f>VLOOKUP($A$4:$A$30,'[7]Anexo III- Qde Prof_Empr_RRT'!$A$5:$X$37,24,)</f>
        <v>2724</v>
      </c>
      <c r="AD4" s="28">
        <v>0</v>
      </c>
      <c r="AF4" s="28">
        <f>VLOOKUP($A$4:$A$30,'[8]Demonstrativos 2020'!$A$6:$Y$32,25,)</f>
        <v>669680.75</v>
      </c>
      <c r="AG4" s="64"/>
      <c r="AH4" s="146">
        <v>906876</v>
      </c>
      <c r="AJ4" s="42" t="s">
        <v>79</v>
      </c>
      <c r="AK4" s="52">
        <f>AK5+AK12+AK13</f>
        <v>14971474.881999999</v>
      </c>
      <c r="AM4" s="42" t="s">
        <v>377</v>
      </c>
      <c r="AN4" s="47">
        <f>VLOOKUP($AK$2,'Diretrizes - Resumo'!$A$4:$Q$30,17,)</f>
        <v>140403.8422811334</v>
      </c>
      <c r="AR4" s="34"/>
    </row>
    <row r="5" spans="1:44" ht="16.2" thickBot="1" x14ac:dyDescent="0.35">
      <c r="A5" s="38" t="s">
        <v>376</v>
      </c>
      <c r="B5" s="31">
        <f>VLOOKUP($A$4:$A$30,'[6]Anexo V-Resumo Valor 80% '!$A$4:$Q$36,5,)</f>
        <v>529644.17599999998</v>
      </c>
      <c r="C5" s="31">
        <f>VLOOKUP($A$4:$A$30,'[6]Anexo V-Resumo Valor 80% '!$A$4:$Q$36,6,)</f>
        <v>119850.66399999999</v>
      </c>
      <c r="D5" s="31">
        <f t="shared" ref="D5:D30" si="3">B5+C5</f>
        <v>649494.84</v>
      </c>
      <c r="E5" s="31">
        <f>VLOOKUP($A$4:$A$30,'[6]Anexo V-Resumo Valor 80% '!$A$4:$Q$36,11,)</f>
        <v>28274.615999999998</v>
      </c>
      <c r="F5" s="31">
        <f>VLOOKUP($A$4:$A$30,'[6]Anexo V-Resumo Valor 80% '!$A$4:$Q$36,12,)</f>
        <v>19201.423999999999</v>
      </c>
      <c r="G5" s="31">
        <f t="shared" ref="G5:G30" si="4">E5+F5</f>
        <v>47476.039999999994</v>
      </c>
      <c r="H5" s="31">
        <f>VLOOKUP($A$4:$A$30,'[6]Anexo V-Resumo Valor 80% '!$A$4:$Q$36,15,)</f>
        <v>623231.63</v>
      </c>
      <c r="I5" s="31">
        <f>VLOOKUP($A$4:$A$30,'[6]Anexo V-Resumo Valor 80% '!$A$4:$Q$36,17,)</f>
        <v>85690.17</v>
      </c>
      <c r="J5" s="37">
        <f t="shared" si="2"/>
        <v>1405892.6800000002</v>
      </c>
      <c r="K5" s="71">
        <f>J5-VLOOKUP($A$4:$A$30,'[6]Anexo V-Resumo Valor 80% '!$A$4:$S$36,19,)</f>
        <v>0</v>
      </c>
      <c r="L5" s="31">
        <f>VLOOKUP($A$4:$A$30,'[7]Anexo VI.I-Aporte do FA'!$A$4:$C$33,3,)</f>
        <v>25584.128262041868</v>
      </c>
      <c r="M5" s="31"/>
      <c r="N5" s="31"/>
      <c r="P5" s="31">
        <f>VLOOKUP($A$4:$A$30,'[7]Anexo VII- CSC - SERV.'!$A$4:$D$37,4,)</f>
        <v>109736.05</v>
      </c>
      <c r="Q5" s="31">
        <f>VLOOKUP($A$4:$A$30,'[7]Anexo VII- CSC - SERV.'!$A$4:$F$38,6,)-P5</f>
        <v>12970.234884836624</v>
      </c>
      <c r="R5" s="72">
        <f>VLOOKUP($A$4:$A$30,'[7]Anexo VII- CSC - SERV.'!$A$4:$F$38,6,)-(P5+Q5)</f>
        <v>0</v>
      </c>
      <c r="S5" s="31"/>
      <c r="U5" s="31">
        <f>VLOOKUP($A$4:$A$30,'[7] Anexo VIII-TARIFAS BANCÁRIAS'!$A$3:$D$35,4,)</f>
        <v>5973.4512300060005</v>
      </c>
      <c r="W5" s="35">
        <f>VLOOKUP($A$4:$A$30,'[7]Anexo III- Qde Prof_Empr_RRT'!$A$5:$X$37,3,)</f>
        <v>2183</v>
      </c>
      <c r="X5" s="35">
        <f>VLOOKUP($A$4:$A$30,'[7]Anexo III- Qde Prof_Empr_RRT'!$A$5:$X$37,6,)</f>
        <v>2095</v>
      </c>
      <c r="Y5" s="36">
        <f>VLOOKUP($A$4:$A$30,'[7]Anexo III- Qde Prof_Empr_RRT'!$A$5:$X$37,12,)</f>
        <v>32.410501193317415</v>
      </c>
      <c r="Z5" s="35">
        <f>VLOOKUP($A$4:$A$30,'[7]Anexo III- Qde Prof_Empr_RRT'!$A$5:$X$37,15,)</f>
        <v>174</v>
      </c>
      <c r="AA5" s="36">
        <f>VLOOKUP($A$4:$A$30,'[7]Anexo III- Qde Prof_Empr_RRT'!$A$5:$X$37,21,)</f>
        <v>56.896551724137936</v>
      </c>
      <c r="AB5" s="35">
        <f>VLOOKUP($A$4:$A$30,'[7]Anexo III- Qde Prof_Empr_RRT'!$A$5:$X$37,24,)</f>
        <v>7198</v>
      </c>
      <c r="AD5" s="28">
        <v>0</v>
      </c>
      <c r="AF5" s="28">
        <f>VLOOKUP($A$4:$A$30,'[8]Demonstrativos 2020'!$A$6:$Y$32,25,)</f>
        <v>459563.48000000004</v>
      </c>
      <c r="AG5" s="28"/>
      <c r="AH5" s="146">
        <v>3365351</v>
      </c>
      <c r="AJ5" s="42" t="s">
        <v>9</v>
      </c>
      <c r="AK5" s="52">
        <f>AK6+AK9</f>
        <v>6219348.6320000002</v>
      </c>
      <c r="AM5" s="42" t="s">
        <v>375</v>
      </c>
      <c r="AN5" s="47">
        <f>VLOOKUP($AK$2,'Diretrizes - Resumo'!$A$4:$S$30,19,)</f>
        <v>0</v>
      </c>
      <c r="AR5" s="34"/>
    </row>
    <row r="6" spans="1:44" ht="16.2" thickBot="1" x14ac:dyDescent="0.35">
      <c r="A6" s="38" t="s">
        <v>374</v>
      </c>
      <c r="B6" s="31">
        <f>VLOOKUP($A$4:$A$30,'[6]Anexo V-Resumo Valor 80% '!$A$4:$Q$36,5,)</f>
        <v>571370.08000000007</v>
      </c>
      <c r="C6" s="31">
        <f>VLOOKUP($A$4:$A$30,'[6]Anexo V-Resumo Valor 80% '!$A$4:$Q$36,6,)</f>
        <v>121138.20800000001</v>
      </c>
      <c r="D6" s="31">
        <f t="shared" si="3"/>
        <v>692508.28800000006</v>
      </c>
      <c r="E6" s="31">
        <f>VLOOKUP($A$4:$A$30,'[6]Anexo V-Resumo Valor 80% '!$A$4:$Q$36,11,)</f>
        <v>46580.504000000001</v>
      </c>
      <c r="F6" s="31">
        <f>VLOOKUP($A$4:$A$30,'[6]Anexo V-Resumo Valor 80% '!$A$4:$Q$36,12,)</f>
        <v>21504.728000000003</v>
      </c>
      <c r="G6" s="31">
        <f t="shared" si="4"/>
        <v>68085.232000000004</v>
      </c>
      <c r="H6" s="31">
        <f>VLOOKUP($A$4:$A$30,'[6]Anexo V-Resumo Valor 80% '!$A$4:$Q$36,15,)</f>
        <v>580459.14</v>
      </c>
      <c r="I6" s="31">
        <f>VLOOKUP($A$4:$A$30,'[6]Anexo V-Resumo Valor 80% '!$A$4:$Q$36,17,)</f>
        <v>67052.63</v>
      </c>
      <c r="J6" s="37">
        <f t="shared" si="2"/>
        <v>1408105.29</v>
      </c>
      <c r="K6" s="71">
        <f>J6-VLOOKUP($A$4:$A$30,'[6]Anexo V-Resumo Valor 80% '!$A$4:$S$36,19,)</f>
        <v>0</v>
      </c>
      <c r="L6" s="31">
        <f>VLOOKUP($A$4:$A$30,'[7]Anexo VI.I-Aporte do FA'!$A$4:$C$33,3,)</f>
        <v>25660.497814048096</v>
      </c>
      <c r="M6" s="31"/>
      <c r="N6" s="31"/>
      <c r="P6" s="31">
        <f>VLOOKUP($A$4:$A$30,'[7]Anexo VII- CSC - SERV.'!$A$4:$D$37,4,)</f>
        <v>110063.62</v>
      </c>
      <c r="Q6" s="31">
        <f>VLOOKUP($A$4:$A$30,'[7]Anexo VII- CSC - SERV.'!$A$4:$F$38,6,)-P6</f>
        <v>12732.700211732939</v>
      </c>
      <c r="R6" s="72">
        <f>VLOOKUP($A$4:$A$30,'[7]Anexo VII- CSC - SERV.'!$A$4:$F$38,6,)-(P6+Q6)</f>
        <v>0</v>
      </c>
      <c r="S6" s="31"/>
      <c r="U6" s="31">
        <f>VLOOKUP($A$4:$A$30,'[7] Anexo VIII-TARIFAS BANCÁRIAS'!$A$3:$D$35,4,)</f>
        <v>5608.741874710001</v>
      </c>
      <c r="W6" s="35">
        <f>VLOOKUP($A$4:$A$30,'[7]Anexo III- Qde Prof_Empr_RRT'!$A$5:$X$37,3,)</f>
        <v>2200</v>
      </c>
      <c r="X6" s="35">
        <f>VLOOKUP($A$4:$A$30,'[7]Anexo III- Qde Prof_Empr_RRT'!$A$5:$X$37,6,)</f>
        <v>2182</v>
      </c>
      <c r="Y6" s="36">
        <f>VLOOKUP($A$4:$A$30,'[7]Anexo III- Qde Prof_Empr_RRT'!$A$5:$X$37,12,)</f>
        <v>32.447296058661777</v>
      </c>
      <c r="Z6" s="35">
        <f>VLOOKUP($A$4:$A$30,'[7]Anexo III- Qde Prof_Empr_RRT'!$A$5:$X$37,15,)</f>
        <v>260</v>
      </c>
      <c r="AA6" s="36">
        <f>VLOOKUP($A$4:$A$30,'[7]Anexo III- Qde Prof_Empr_RRT'!$A$5:$X$37,21,)</f>
        <v>52.692307692307693</v>
      </c>
      <c r="AB6" s="35">
        <f>VLOOKUP($A$4:$A$30,'[7]Anexo III- Qde Prof_Empr_RRT'!$A$5:$X$37,24,)</f>
        <v>6704</v>
      </c>
      <c r="AD6" s="28">
        <v>0</v>
      </c>
      <c r="AF6" s="28">
        <f>VLOOKUP($A$4:$A$30,'[8]Demonstrativos 2020'!$A$6:$Y$32,25,)</f>
        <v>984059.28000000014</v>
      </c>
      <c r="AG6" s="28"/>
      <c r="AH6" s="146">
        <v>4269995</v>
      </c>
      <c r="AJ6" s="42" t="s">
        <v>10</v>
      </c>
      <c r="AK6" s="51">
        <f>SUM(AK7:AK8)</f>
        <v>5409402.1919999998</v>
      </c>
      <c r="AM6" s="42" t="s">
        <v>373</v>
      </c>
      <c r="AN6" s="47">
        <f>VLOOKUP($AK$2,'Diretrizes - Resumo'!$A$4:$M$30,12,)</f>
        <v>274444.30773230823</v>
      </c>
      <c r="AR6" s="34"/>
    </row>
    <row r="7" spans="1:44" ht="16.2" thickBot="1" x14ac:dyDescent="0.35">
      <c r="A7" s="38" t="s">
        <v>372</v>
      </c>
      <c r="B7" s="31">
        <f>VLOOKUP($A$4:$A$30,'[6]Anexo V-Resumo Valor 80% '!$A$4:$Q$36,5,)</f>
        <v>199437.94400000002</v>
      </c>
      <c r="C7" s="31">
        <f>VLOOKUP($A$4:$A$30,'[6]Anexo V-Resumo Valor 80% '!$A$4:$Q$36,6,)</f>
        <v>40871.728000000003</v>
      </c>
      <c r="D7" s="31">
        <f t="shared" si="3"/>
        <v>240309.67200000002</v>
      </c>
      <c r="E7" s="31">
        <f>VLOOKUP($A$4:$A$30,'[6]Anexo V-Resumo Valor 80% '!$A$4:$Q$36,11,)</f>
        <v>33169.32</v>
      </c>
      <c r="F7" s="31">
        <f>VLOOKUP($A$4:$A$30,'[6]Anexo V-Resumo Valor 80% '!$A$4:$Q$36,12,)</f>
        <v>22426.176000000003</v>
      </c>
      <c r="G7" s="31">
        <f t="shared" si="4"/>
        <v>55595.495999999999</v>
      </c>
      <c r="H7" s="31">
        <f>VLOOKUP($A$4:$A$30,'[6]Anexo V-Resumo Valor 80% '!$A$4:$Q$36,15,)</f>
        <v>297156.28999999998</v>
      </c>
      <c r="I7" s="31">
        <f>VLOOKUP($A$4:$A$30,'[6]Anexo V-Resumo Valor 80% '!$A$4:$Q$36,17,)</f>
        <v>29653.07</v>
      </c>
      <c r="J7" s="37">
        <f t="shared" si="2"/>
        <v>622714.52799999993</v>
      </c>
      <c r="K7" s="71">
        <f>J7-VLOOKUP($A$4:$A$30,'[6]Anexo V-Resumo Valor 80% '!$A$4:$S$36,19,)</f>
        <v>0</v>
      </c>
      <c r="L7" s="31">
        <f>VLOOKUP($A$4:$A$30,'[7]Anexo VI.I-Aporte do FA'!$A$4:$C$33,3,)</f>
        <v>11617.791798420327</v>
      </c>
      <c r="M7" s="31">
        <f>VLOOKUP($A$4:$A$30,'[7]Anexo VI-Repasse Fundo de Apoio'!$A$4:$G$16,7,)</f>
        <v>18040</v>
      </c>
      <c r="N7" s="31">
        <f>VLOOKUP($A$4:$A$30,'[7]Anexo VI-Repasse Fundo de Apoio'!$A$4:$H$16,8,)</f>
        <v>629725.45006169006</v>
      </c>
      <c r="P7" s="31">
        <f>VLOOKUP($A$4:$A$30,'[7]Anexo VII- CSC - SERV.'!$A$4:$D$37,4,)</f>
        <v>49831.31</v>
      </c>
      <c r="Q7" s="31">
        <f>VLOOKUP($A$4:$A$30,'[7]Anexo VII- CSC - SERV.'!$A$4:$F$38,6,)-P7</f>
        <v>5762.7040616900194</v>
      </c>
      <c r="R7" s="72">
        <f>VLOOKUP($A$4:$A$30,'[7]Anexo VII- CSC - SERV.'!$A$4:$F$38,6,)-(P7+Q7)</f>
        <v>0</v>
      </c>
      <c r="S7" s="31"/>
      <c r="U7" s="31">
        <f>VLOOKUP($A$4:$A$30,'[7] Anexo VIII-TARIFAS BANCÁRIAS'!$A$3:$D$35,4,)</f>
        <v>2768.9817116520007</v>
      </c>
      <c r="W7" s="35">
        <f>VLOOKUP($A$4:$A$30,'[7]Anexo III- Qde Prof_Empr_RRT'!$A$5:$X$37,3,)</f>
        <v>859.6</v>
      </c>
      <c r="X7" s="35">
        <f>VLOOKUP($A$4:$A$30,'[7]Anexo III- Qde Prof_Empr_RRT'!$A$5:$X$37,6,)</f>
        <v>853.6</v>
      </c>
      <c r="Y7" s="36">
        <f>VLOOKUP($A$4:$A$30,'[7]Anexo III- Qde Prof_Empr_RRT'!$A$5:$X$37,12,)</f>
        <v>39.081537019681356</v>
      </c>
      <c r="Z7" s="35">
        <f>VLOOKUP($A$4:$A$30,'[7]Anexo III- Qde Prof_Empr_RRT'!$A$5:$X$37,15,)</f>
        <v>292</v>
      </c>
      <c r="AA7" s="36">
        <f>VLOOKUP($A$4:$A$30,'[7]Anexo III- Qde Prof_Empr_RRT'!$A$5:$X$37,21,)</f>
        <v>70.205479452054789</v>
      </c>
      <c r="AB7" s="35">
        <f>VLOOKUP($A$4:$A$30,'[7]Anexo III- Qde Prof_Empr_RRT'!$A$5:$X$37,24,)</f>
        <v>3432</v>
      </c>
      <c r="AD7" s="28">
        <v>0</v>
      </c>
      <c r="AF7" s="28">
        <f>VLOOKUP($A$4:$A$30,'[8]Demonstrativos 2020'!$A$6:$Y$32,25,)</f>
        <v>829755.32</v>
      </c>
      <c r="AG7" s="28"/>
      <c r="AH7" s="146">
        <v>877613</v>
      </c>
      <c r="AJ7" s="49" t="s">
        <v>239</v>
      </c>
      <c r="AK7" s="47">
        <f>VLOOKUP($AK$2,'Diretrizes - Resumo'!$A$4:$I$30,2,)</f>
        <v>4734720.0959999999</v>
      </c>
      <c r="AM7" s="42" t="s">
        <v>371</v>
      </c>
      <c r="AN7" s="47">
        <f>VLOOKUP($AK$2,'Diretrizes - Resumo'!$A$4:$M$30,13,)</f>
        <v>0</v>
      </c>
      <c r="AR7" s="34"/>
    </row>
    <row r="8" spans="1:44" ht="16.2" thickBot="1" x14ac:dyDescent="0.35">
      <c r="A8" s="38" t="s">
        <v>370</v>
      </c>
      <c r="B8" s="31">
        <f>VLOOKUP($A$4:$A$30,'[6]Anexo V-Resumo Valor 80% '!$A$4:$Q$36,5,)</f>
        <v>1635572.3840000003</v>
      </c>
      <c r="C8" s="31">
        <f>VLOOKUP($A$4:$A$30,'[6]Anexo V-Resumo Valor 80% '!$A$4:$Q$36,6,)</f>
        <v>294898.40000000002</v>
      </c>
      <c r="D8" s="31">
        <f t="shared" si="3"/>
        <v>1930470.7840000005</v>
      </c>
      <c r="E8" s="31">
        <f>VLOOKUP($A$4:$A$30,'[6]Anexo V-Resumo Valor 80% '!$A$4:$Q$36,11,)</f>
        <v>190196.36800000002</v>
      </c>
      <c r="F8" s="31">
        <f>VLOOKUP($A$4:$A$30,'[6]Anexo V-Resumo Valor 80% '!$A$4:$Q$36,12,)</f>
        <v>80935.024000000005</v>
      </c>
      <c r="G8" s="31">
        <f t="shared" si="4"/>
        <v>271131.39199999999</v>
      </c>
      <c r="H8" s="31">
        <f>VLOOKUP($A$4:$A$30,'[6]Anexo V-Resumo Valor 80% '!$A$4:$Q$36,15,)</f>
        <v>1581889.68</v>
      </c>
      <c r="I8" s="31">
        <f>VLOOKUP($A$4:$A$30,'[6]Anexo V-Resumo Valor 80% '!$A$4:$Q$36,17,)</f>
        <v>190281.52</v>
      </c>
      <c r="J8" s="37">
        <f t="shared" si="2"/>
        <v>3973773.3760000002</v>
      </c>
      <c r="K8" s="71">
        <f>J8-VLOOKUP($A$4:$A$30,'[6]Anexo V-Resumo Valor 80% '!$A$4:$S$36,19,)</f>
        <v>0</v>
      </c>
      <c r="L8" s="31">
        <f>VLOOKUP($A$4:$A$30,'[7]Anexo VI.I-Aporte do FA'!$A$4:$C$33,3,)</f>
        <v>72931.013699093732</v>
      </c>
      <c r="M8" s="31"/>
      <c r="N8" s="31"/>
      <c r="P8" s="31">
        <f>VLOOKUP($A$4:$A$30,'[7]Anexo VII- CSC - SERV.'!$A$4:$D$37,4,)</f>
        <v>312817.45</v>
      </c>
      <c r="Q8" s="31">
        <f>VLOOKUP($A$4:$A$30,'[7]Anexo VII- CSC - SERV.'!$A$4:$F$38,6,)-P8</f>
        <v>37600.721619223594</v>
      </c>
      <c r="R8" s="72">
        <f>VLOOKUP($A$4:$A$30,'[7]Anexo VII- CSC - SERV.'!$A$4:$F$38,6,)-(P8+Q8)</f>
        <v>0</v>
      </c>
      <c r="S8" s="31"/>
      <c r="U8" s="31">
        <f>VLOOKUP($A$4:$A$30,'[7] Anexo VIII-TARIFAS BANCÁRIAS'!$A$3:$D$35,4,)</f>
        <v>13509.034775547998</v>
      </c>
      <c r="W8" s="35">
        <f>VLOOKUP($A$4:$A$30,'[7]Anexo III- Qde Prof_Empr_RRT'!$A$5:$X$37,3,)</f>
        <v>7366.3</v>
      </c>
      <c r="X8" s="35">
        <f>VLOOKUP($A$4:$A$30,'[7]Anexo III- Qde Prof_Empr_RRT'!$A$5:$X$37,6,)</f>
        <v>6563.3</v>
      </c>
      <c r="Y8" s="36">
        <f>VLOOKUP($A$4:$A$30,'[7]Anexo III- Qde Prof_Empr_RRT'!$A$5:$X$37,12,)</f>
        <v>30.857952554355279</v>
      </c>
      <c r="Z8" s="35">
        <f>VLOOKUP($A$4:$A$30,'[7]Anexo III- Qde Prof_Empr_RRT'!$A$5:$X$37,15,)</f>
        <v>1025</v>
      </c>
      <c r="AA8" s="36">
        <f>VLOOKUP($A$4:$A$30,'[7]Anexo III- Qde Prof_Empr_RRT'!$A$5:$X$37,21,)</f>
        <v>50.926829268292686</v>
      </c>
      <c r="AB8" s="35">
        <f>VLOOKUP($A$4:$A$30,'[7]Anexo III- Qde Prof_Empr_RRT'!$A$5:$X$37,24,)</f>
        <v>18270</v>
      </c>
      <c r="AD8" s="28">
        <v>0</v>
      </c>
      <c r="AF8" s="28">
        <f>VLOOKUP($A$4:$A$30,'[8]Demonstrativos 2020'!$A$6:$Y$32,25,)</f>
        <v>6314976.8100000005</v>
      </c>
      <c r="AG8" s="28"/>
      <c r="AH8" s="146">
        <v>14985284</v>
      </c>
      <c r="AJ8" s="49" t="s">
        <v>77</v>
      </c>
      <c r="AK8" s="47">
        <f>VLOOKUP($AK$2,'Diretrizes - Resumo'!$A$4:$I$30,3,)</f>
        <v>674682.09600000002</v>
      </c>
      <c r="AM8" s="99" t="s">
        <v>369</v>
      </c>
      <c r="AN8" s="98">
        <f>VLOOKUP($AK$2,$A$4:$AF$30,29,)</f>
        <v>0</v>
      </c>
      <c r="AR8" s="34"/>
    </row>
    <row r="9" spans="1:44" ht="16.2" thickBot="1" x14ac:dyDescent="0.35">
      <c r="A9" s="38" t="s">
        <v>368</v>
      </c>
      <c r="B9" s="31">
        <f>VLOOKUP($A$4:$A$30,'[6]Anexo V-Resumo Valor 80% '!$A$4:$Q$36,5,)</f>
        <v>1073890.6000000001</v>
      </c>
      <c r="C9" s="31">
        <f>VLOOKUP($A$4:$A$30,'[6]Anexo V-Resumo Valor 80% '!$A$4:$Q$36,6,)</f>
        <v>168626.54399999999</v>
      </c>
      <c r="D9" s="31">
        <f t="shared" si="3"/>
        <v>1242517.1440000001</v>
      </c>
      <c r="E9" s="31">
        <f>VLOOKUP($A$4:$A$30,'[6]Anexo V-Resumo Valor 80% '!$A$4:$Q$36,11,)</f>
        <v>95297.712</v>
      </c>
      <c r="F9" s="31">
        <f>VLOOKUP($A$4:$A$30,'[6]Anexo V-Resumo Valor 80% '!$A$4:$Q$36,12,)</f>
        <v>29076.736000000001</v>
      </c>
      <c r="G9" s="31">
        <f t="shared" si="4"/>
        <v>124374.448</v>
      </c>
      <c r="H9" s="31">
        <f>VLOOKUP($A$4:$A$30,'[6]Anexo V-Resumo Valor 80% '!$A$4:$Q$36,15,)</f>
        <v>1034072.71</v>
      </c>
      <c r="I9" s="31">
        <f>VLOOKUP($A$4:$A$30,'[6]Anexo V-Resumo Valor 80% '!$A$4:$Q$36,17,)</f>
        <v>107937.7</v>
      </c>
      <c r="J9" s="37">
        <f t="shared" si="2"/>
        <v>2508902.0020000003</v>
      </c>
      <c r="K9" s="71">
        <f>J9-VLOOKUP($A$4:$A$30,'[6]Anexo V-Resumo Valor 80% '!$A$4:$S$36,19,)</f>
        <v>0</v>
      </c>
      <c r="L9" s="31">
        <f>VLOOKUP($A$4:$A$30,'[7]Anexo VI.I-Aporte do FA'!$A$4:$C$33,3,)</f>
        <v>45719.891289323386</v>
      </c>
      <c r="M9" s="31"/>
      <c r="N9" s="31"/>
      <c r="P9" s="31">
        <f>VLOOKUP($A$4:$A$30,'[7]Anexo VII- CSC - SERV.'!$A$4:$D$37,4,)</f>
        <v>196102.85</v>
      </c>
      <c r="Q9" s="31">
        <f>VLOOKUP($A$4:$A$30,'[7]Anexo VII- CSC - SERV.'!$A$4:$F$38,6,)-P9</f>
        <v>23608.631521290605</v>
      </c>
      <c r="R9" s="72">
        <f>VLOOKUP($A$4:$A$30,'[7]Anexo VII- CSC - SERV.'!$A$4:$F$38,6,)-(P9+Q9)</f>
        <v>0</v>
      </c>
      <c r="S9" s="31">
        <f>VLOOKUP($A$4:$A$30,'[7]Anexo VII.III- SISCAF'!$A$10:$C$28,3,)</f>
        <v>17423.81414516392</v>
      </c>
      <c r="U9" s="31">
        <f>VLOOKUP($A$4:$A$30,'[7] Anexo VIII-TARIFAS BANCÁRIAS'!$A$3:$D$35,4,)</f>
        <v>8893.9349598320005</v>
      </c>
      <c r="W9" s="35">
        <f>VLOOKUP($A$4:$A$30,'[7]Anexo III- Qde Prof_Empr_RRT'!$A$5:$X$37,3,)</f>
        <v>4728</v>
      </c>
      <c r="X9" s="35">
        <f>VLOOKUP($A$4:$A$30,'[7]Anexo III- Qde Prof_Empr_RRT'!$A$5:$X$37,6,)</f>
        <v>4542</v>
      </c>
      <c r="Y9" s="36">
        <f>VLOOKUP($A$4:$A$30,'[7]Anexo III- Qde Prof_Empr_RRT'!$A$5:$X$37,12,)</f>
        <v>32.298546895640683</v>
      </c>
      <c r="Z9" s="35">
        <f>VLOOKUP($A$4:$A$30,'[7]Anexo III- Qde Prof_Empr_RRT'!$A$5:$X$37,15,)</f>
        <v>437</v>
      </c>
      <c r="AA9" s="36">
        <f>VLOOKUP($A$4:$A$30,'[7]Anexo III- Qde Prof_Empr_RRT'!$A$5:$X$37,21,)</f>
        <v>42.334096109839813</v>
      </c>
      <c r="AB9" s="35">
        <f>VLOOKUP($A$4:$A$30,'[7]Anexo III- Qde Prof_Empr_RRT'!$A$5:$X$37,24,)</f>
        <v>11943</v>
      </c>
      <c r="AD9" s="28">
        <v>0</v>
      </c>
      <c r="AF9" s="28">
        <f>VLOOKUP($A$4:$A$30,'[8]Demonstrativos 2020'!$A$6:$Y$32,25,)</f>
        <v>1187299.8600000001</v>
      </c>
      <c r="AG9" s="28"/>
      <c r="AH9" s="146">
        <v>9240580</v>
      </c>
      <c r="AJ9" s="42" t="s">
        <v>11</v>
      </c>
      <c r="AK9" s="50">
        <f>SUM(AK10:AK11)</f>
        <v>809946.44000000006</v>
      </c>
      <c r="AM9" s="42" t="s">
        <v>367</v>
      </c>
      <c r="AN9" s="47">
        <f>VLOOKUP($AK$2,$A$4:$AF$30,32,)</f>
        <v>18607318.912999999</v>
      </c>
      <c r="AR9" s="34"/>
    </row>
    <row r="10" spans="1:44" ht="16.2" thickBot="1" x14ac:dyDescent="0.35">
      <c r="A10" s="38" t="s">
        <v>366</v>
      </c>
      <c r="B10" s="31">
        <f>VLOOKUP($A$4:$A$30,'[6]Anexo V-Resumo Valor 80% '!$A$4:$Q$36,5,)</f>
        <v>1778840.4559999995</v>
      </c>
      <c r="C10" s="31">
        <f>VLOOKUP($A$4:$A$30,'[6]Anexo V-Resumo Valor 80% '!$A$4:$Q$36,6,)</f>
        <v>272509.68800000002</v>
      </c>
      <c r="D10" s="31">
        <f t="shared" si="3"/>
        <v>2051350.1439999996</v>
      </c>
      <c r="E10" s="31">
        <f>VLOOKUP($A$4:$A$30,'[6]Anexo V-Resumo Valor 80% '!$A$4:$Q$36,11,)</f>
        <v>133096.54399999999</v>
      </c>
      <c r="F10" s="31">
        <f>VLOOKUP($A$4:$A$30,'[6]Anexo V-Resumo Valor 80% '!$A$4:$Q$36,12,)</f>
        <v>53126.96</v>
      </c>
      <c r="G10" s="31">
        <f t="shared" si="4"/>
        <v>186223.50399999999</v>
      </c>
      <c r="H10" s="31">
        <f>VLOOKUP($A$4:$A$30,'[6]Anexo V-Resumo Valor 80% '!$A$4:$Q$36,15,)</f>
        <v>1539550.1</v>
      </c>
      <c r="I10" s="31">
        <f>VLOOKUP($A$4:$A$30,'[6]Anexo V-Resumo Valor 80% '!$A$4:$Q$36,17,)</f>
        <v>216423.76</v>
      </c>
      <c r="J10" s="37">
        <f t="shared" si="2"/>
        <v>3993547.5079999994</v>
      </c>
      <c r="K10" s="71">
        <f>J10-VLOOKUP($A$4:$A$30,'[6]Anexo V-Resumo Valor 80% '!$A$4:$S$36,19,)</f>
        <v>0</v>
      </c>
      <c r="L10" s="31">
        <f>VLOOKUP($A$4:$A$30,'[7]Anexo VI.I-Aporte do FA'!$A$4:$C$33,3,)</f>
        <v>72880.70202486412</v>
      </c>
      <c r="M10" s="31"/>
      <c r="N10" s="31"/>
      <c r="P10" s="31">
        <f>VLOOKUP($A$4:$A$30,'[7]Anexo VII- CSC - SERV.'!$A$4:$D$37,4,)</f>
        <v>312601.65000000002</v>
      </c>
      <c r="Q10" s="31">
        <f>VLOOKUP($A$4:$A$30,'[7]Anexo VII- CSC - SERV.'!$A$4:$F$38,6,)-P10</f>
        <v>42200.896909131261</v>
      </c>
      <c r="R10" s="72">
        <f>VLOOKUP($A$4:$A$30,'[7]Anexo VII- CSC - SERV.'!$A$4:$F$38,6,)-(P10+Q10)</f>
        <v>0</v>
      </c>
      <c r="S10" s="31"/>
      <c r="U10" s="31">
        <f>VLOOKUP($A$4:$A$30,'[7] Anexo VIII-TARIFAS BANCÁRIAS'!$A$3:$D$35,4,)</f>
        <v>14886.088719709998</v>
      </c>
      <c r="W10" s="35">
        <f>VLOOKUP($A$4:$A$30,'[7]Anexo III- Qde Prof_Empr_RRT'!$A$5:$X$37,3,)</f>
        <v>6845.6</v>
      </c>
      <c r="X10" s="35">
        <f>VLOOKUP($A$4:$A$30,'[7]Anexo III- Qde Prof_Empr_RRT'!$A$5:$X$37,6,)</f>
        <v>6318.6</v>
      </c>
      <c r="Y10" s="36">
        <f>VLOOKUP($A$4:$A$30,'[7]Anexo III- Qde Prof_Empr_RRT'!$A$5:$X$37,12,)</f>
        <v>26.581837748868423</v>
      </c>
      <c r="Z10" s="35">
        <f>VLOOKUP($A$4:$A$30,'[7]Anexo III- Qde Prof_Empr_RRT'!$A$5:$X$37,15,)</f>
        <v>804</v>
      </c>
      <c r="AA10" s="36">
        <f>VLOOKUP($A$4:$A$30,'[7]Anexo III- Qde Prof_Empr_RRT'!$A$5:$X$37,21,)</f>
        <v>56.218905472636813</v>
      </c>
      <c r="AB10" s="35">
        <f>VLOOKUP($A$4:$A$30,'[7]Anexo III- Qde Prof_Empr_RRT'!$A$5:$X$37,24,)</f>
        <v>17781</v>
      </c>
      <c r="AD10" s="28">
        <v>0</v>
      </c>
      <c r="AF10" s="28">
        <f>VLOOKUP($A$4:$A$30,'[8]Demonstrativos 2020'!$A$6:$Y$32,25,)</f>
        <v>1020703.8599999999</v>
      </c>
      <c r="AG10" s="28"/>
      <c r="AH10" s="146">
        <v>3094325</v>
      </c>
      <c r="AJ10" s="49" t="s">
        <v>240</v>
      </c>
      <c r="AK10" s="47">
        <f>VLOOKUP($AK$2,'Diretrizes - Resumo'!$A$4:$J$30,5,)</f>
        <v>608680.91200000001</v>
      </c>
      <c r="AR10" s="34"/>
    </row>
    <row r="11" spans="1:44" ht="16.2" thickBot="1" x14ac:dyDescent="0.35">
      <c r="A11" s="38" t="s">
        <v>365</v>
      </c>
      <c r="B11" s="31">
        <f>VLOOKUP($A$4:$A$30,'[6]Anexo V-Resumo Valor 80% '!$A$4:$Q$36,5,)</f>
        <v>1437738.3759999999</v>
      </c>
      <c r="C11" s="31">
        <f>VLOOKUP($A$4:$A$30,'[6]Anexo V-Resumo Valor 80% '!$A$4:$Q$36,6,)</f>
        <v>82239.352000000014</v>
      </c>
      <c r="D11" s="31">
        <f t="shared" si="3"/>
        <v>1519977.7279999999</v>
      </c>
      <c r="E11" s="31">
        <f>VLOOKUP($A$4:$A$30,'[6]Anexo V-Resumo Valor 80% '!$A$4:$Q$36,11,)</f>
        <v>128752.43200000002</v>
      </c>
      <c r="F11" s="31">
        <f>VLOOKUP($A$4:$A$30,'[6]Anexo V-Resumo Valor 80% '!$A$4:$Q$36,12,)</f>
        <v>14149.88</v>
      </c>
      <c r="G11" s="31">
        <f t="shared" si="4"/>
        <v>142902.31200000001</v>
      </c>
      <c r="H11" s="31">
        <f>VLOOKUP($A$4:$A$30,'[6]Anexo V-Resumo Valor 80% '!$A$4:$Q$36,15,)</f>
        <v>1327246.1399999999</v>
      </c>
      <c r="I11" s="31">
        <f>VLOOKUP($A$4:$A$30,'[6]Anexo V-Resumo Valor 80% '!$A$4:$Q$36,17,)</f>
        <v>149580.47</v>
      </c>
      <c r="J11" s="37">
        <f t="shared" si="2"/>
        <v>3139706.6499999994</v>
      </c>
      <c r="K11" s="71">
        <f>J11-VLOOKUP($A$4:$A$30,'[6]Anexo V-Resumo Valor 80% '!$A$4:$S$36,19,)</f>
        <v>0</v>
      </c>
      <c r="L11" s="31">
        <f>VLOOKUP($A$4:$A$30,'[7]Anexo VI.I-Aporte do FA'!$A$4:$C$33,3,)</f>
        <v>57264.654858299888</v>
      </c>
      <c r="M11" s="31"/>
      <c r="N11" s="31"/>
      <c r="P11" s="31">
        <f>VLOOKUP($A$4:$A$30,'[7]Anexo VII- CSC - SERV.'!$A$4:$D$37,4,)</f>
        <v>245620.93</v>
      </c>
      <c r="Q11" s="31">
        <f>VLOOKUP($A$4:$A$30,'[7]Anexo VII- CSC - SERV.'!$A$4:$F$38,6,)-P11</f>
        <v>29557.581779246742</v>
      </c>
      <c r="R11" s="72">
        <f>VLOOKUP($A$4:$A$30,'[7]Anexo VII- CSC - SERV.'!$A$4:$F$38,6,)-(P11+Q11)</f>
        <v>0</v>
      </c>
      <c r="S11" s="31"/>
      <c r="U11" s="31">
        <f>VLOOKUP($A$4:$A$30,'[7] Anexo VIII-TARIFAS BANCÁRIAS'!$A$3:$D$35,4,)</f>
        <v>11997.369723430005</v>
      </c>
      <c r="W11" s="35">
        <f>VLOOKUP($A$4:$A$30,'[7]Anexo III- Qde Prof_Empr_RRT'!$A$5:$X$37,3,)</f>
        <v>4055</v>
      </c>
      <c r="X11" s="35">
        <f>VLOOKUP($A$4:$A$30,'[7]Anexo III- Qde Prof_Empr_RRT'!$A$5:$X$37,6,)</f>
        <v>3960</v>
      </c>
      <c r="Y11" s="36">
        <f>VLOOKUP($A$4:$A$30,'[7]Anexo III- Qde Prof_Empr_RRT'!$A$5:$X$37,12,)</f>
        <v>6.868686868686865</v>
      </c>
      <c r="Z11" s="35">
        <f>VLOOKUP($A$4:$A$30,'[7]Anexo III- Qde Prof_Empr_RRT'!$A$5:$X$37,15,)</f>
        <v>484</v>
      </c>
      <c r="AA11" s="36">
        <f>VLOOKUP($A$4:$A$30,'[7]Anexo III- Qde Prof_Empr_RRT'!$A$5:$X$37,21,)</f>
        <v>29.545454545454547</v>
      </c>
      <c r="AB11" s="35">
        <f>VLOOKUP($A$4:$A$30,'[7]Anexo III- Qde Prof_Empr_RRT'!$A$5:$X$37,24,)</f>
        <v>15329</v>
      </c>
      <c r="AD11" s="28">
        <v>0</v>
      </c>
      <c r="AF11" s="28">
        <f>VLOOKUP($A$4:$A$30,'[8]Demonstrativos 2020'!$A$6:$Y$32,25,)</f>
        <v>2085182.6499999997</v>
      </c>
      <c r="AG11" s="28"/>
      <c r="AH11" s="146">
        <v>4108508</v>
      </c>
      <c r="AJ11" s="49" t="s">
        <v>78</v>
      </c>
      <c r="AK11" s="47">
        <f>VLOOKUP($AK$2,'Diretrizes - Resumo'!$A$4:$I$30,6,)</f>
        <v>201265.52800000002</v>
      </c>
      <c r="AR11" s="34"/>
    </row>
    <row r="12" spans="1:44" ht="16.2" thickBot="1" x14ac:dyDescent="0.35">
      <c r="A12" s="38" t="s">
        <v>363</v>
      </c>
      <c r="B12" s="31">
        <f>VLOOKUP($A$4:$A$30,'[6]Anexo V-Resumo Valor 80% '!$A$4:$Q$36,5,)</f>
        <v>1379093.6640000001</v>
      </c>
      <c r="C12" s="31">
        <f>VLOOKUP($A$4:$A$30,'[6]Anexo V-Resumo Valor 80% '!$A$4:$Q$36,6,)</f>
        <v>221931.152</v>
      </c>
      <c r="D12" s="31">
        <f t="shared" si="3"/>
        <v>1601024.8160000001</v>
      </c>
      <c r="E12" s="31">
        <f>VLOOKUP($A$4:$A$30,'[6]Anexo V-Resumo Valor 80% '!$A$4:$Q$36,11,)</f>
        <v>82964.975999999995</v>
      </c>
      <c r="F12" s="31">
        <f>VLOOKUP($A$4:$A$30,'[6]Anexo V-Resumo Valor 80% '!$A$4:$Q$36,12,)</f>
        <v>90843.423999999999</v>
      </c>
      <c r="G12" s="31">
        <f t="shared" si="4"/>
        <v>173808.4</v>
      </c>
      <c r="H12" s="31">
        <f>VLOOKUP($A$4:$A$30,'[6]Anexo V-Resumo Valor 80% '!$A$4:$Q$36,15,)</f>
        <v>2651635</v>
      </c>
      <c r="I12" s="31">
        <f>VLOOKUP($A$4:$A$30,'[6]Anexo V-Resumo Valor 80% '!$A$4:$Q$36,17,)</f>
        <v>158024.91</v>
      </c>
      <c r="J12" s="37">
        <f t="shared" si="2"/>
        <v>4584493.1260000002</v>
      </c>
      <c r="K12" s="71">
        <f>J12-VLOOKUP($A$4:$A$30,'[6]Anexo V-Resumo Valor 80% '!$A$4:$S$36,19,)</f>
        <v>0</v>
      </c>
      <c r="L12" s="31">
        <f>VLOOKUP($A$4:$A$30,'[7]Anexo VI.I-Aporte do FA'!$A$4:$C$33,3,)</f>
        <v>84498.899430433084</v>
      </c>
      <c r="M12" s="31"/>
      <c r="N12" s="31"/>
      <c r="P12" s="31">
        <f>VLOOKUP($A$4:$A$30,'[7]Anexo VII- CSC - SERV.'!$A$4:$D$37,4,)</f>
        <v>362434.7</v>
      </c>
      <c r="Q12" s="31">
        <f>VLOOKUP($A$4:$A$30,'[7]Anexo VII- CSC - SERV.'!$A$4:$F$38,6,)-P12</f>
        <v>43313.642250348523</v>
      </c>
      <c r="R12" s="72">
        <f>VLOOKUP($A$4:$A$30,'[7]Anexo VII- CSC - SERV.'!$A$4:$F$38,6,)-(P12+Q12)</f>
        <v>0</v>
      </c>
      <c r="S12" s="31"/>
      <c r="U12" s="31">
        <f>VLOOKUP($A$4:$A$30,'[7] Anexo VIII-TARIFAS BANCÁRIAS'!$A$3:$D$35,4,)</f>
        <v>20244.566489575998</v>
      </c>
      <c r="W12" s="35">
        <f>VLOOKUP($A$4:$A$30,'[7]Anexo III- Qde Prof_Empr_RRT'!$A$5:$X$37,3,)</f>
        <v>5336</v>
      </c>
      <c r="X12" s="35">
        <f>VLOOKUP($A$4:$A$30,'[7]Anexo III- Qde Prof_Empr_RRT'!$A$5:$X$37,6,)</f>
        <v>5100</v>
      </c>
      <c r="Y12" s="36">
        <f>VLOOKUP($A$4:$A$30,'[7]Anexo III- Qde Prof_Empr_RRT'!$A$5:$X$37,12,)</f>
        <v>28.274509803921561</v>
      </c>
      <c r="Z12" s="35">
        <f>VLOOKUP($A$4:$A$30,'[7]Anexo III- Qde Prof_Empr_RRT'!$A$5:$X$37,15,)</f>
        <v>721</v>
      </c>
      <c r="AA12" s="36">
        <f>VLOOKUP($A$4:$A$30,'[7]Anexo III- Qde Prof_Empr_RRT'!$A$5:$X$37,21,)</f>
        <v>69.625520110957012</v>
      </c>
      <c r="AB12" s="35">
        <f>VLOOKUP($A$4:$A$30,'[7]Anexo III- Qde Prof_Empr_RRT'!$A$5:$X$37,24,)</f>
        <v>30625</v>
      </c>
      <c r="AD12" s="28">
        <v>0</v>
      </c>
      <c r="AF12" s="28">
        <f>VLOOKUP($A$4:$A$30,'[8]Demonstrativos 2020'!$A$6:$Y$32,25,)</f>
        <v>2015911.7999999998</v>
      </c>
      <c r="AG12" s="28"/>
      <c r="AH12" s="146">
        <v>7206589</v>
      </c>
      <c r="AJ12" s="44" t="s">
        <v>68</v>
      </c>
      <c r="AK12" s="47">
        <f>VLOOKUP($AK$2,'Diretrizes - Resumo'!$A$4:$I$30,8,)</f>
        <v>8176300.29</v>
      </c>
      <c r="AR12" s="34"/>
    </row>
    <row r="13" spans="1:44" ht="16.2" thickBot="1" x14ac:dyDescent="0.35">
      <c r="A13" s="38" t="s">
        <v>362</v>
      </c>
      <c r="B13" s="31">
        <f>VLOOKUP($A$4:$A$30,'[6]Anexo V-Resumo Valor 80% '!$A$4:$Q$36,5,)</f>
        <v>511040.36800000002</v>
      </c>
      <c r="C13" s="31">
        <f>VLOOKUP($A$4:$A$30,'[6]Anexo V-Resumo Valor 80% '!$A$4:$Q$36,6,)</f>
        <v>104363.144</v>
      </c>
      <c r="D13" s="31">
        <f t="shared" si="3"/>
        <v>615403.51199999999</v>
      </c>
      <c r="E13" s="31">
        <f>VLOOKUP($A$4:$A$30,'[6]Anexo V-Resumo Valor 80% '!$A$4:$Q$36,11,)</f>
        <v>41637.815999999999</v>
      </c>
      <c r="F13" s="31">
        <f>VLOOKUP($A$4:$A$30,'[6]Anexo V-Resumo Valor 80% '!$A$4:$Q$36,12,)</f>
        <v>37561.279999999999</v>
      </c>
      <c r="G13" s="31">
        <f t="shared" si="4"/>
        <v>79199.09599999999</v>
      </c>
      <c r="H13" s="31">
        <f>VLOOKUP($A$4:$A$30,'[6]Anexo V-Resumo Valor 80% '!$A$4:$Q$36,15,)</f>
        <v>479848.53</v>
      </c>
      <c r="I13" s="31">
        <f>VLOOKUP($A$4:$A$30,'[6]Anexo V-Resumo Valor 80% '!$A$4:$Q$36,17,)</f>
        <v>52850.3</v>
      </c>
      <c r="J13" s="37">
        <f t="shared" si="2"/>
        <v>1227301.4380000001</v>
      </c>
      <c r="K13" s="71">
        <f>J13-VLOOKUP($A$4:$A$30,'[6]Anexo V-Resumo Valor 80% '!$A$4:$S$36,19,)</f>
        <v>0</v>
      </c>
      <c r="L13" s="31">
        <f>VLOOKUP($A$4:$A$30,'[7]Anexo VI.I-Aporte do FA'!$A$4:$C$33,3,)</f>
        <v>22699.741551492109</v>
      </c>
      <c r="M13" s="31">
        <f>'[7]Anexo VI-Repasse Fundo de Apoio'!$G$16</f>
        <v>17240</v>
      </c>
      <c r="N13" s="31">
        <f>'[7]Anexo VI-Repasse Fundo de Apoio'!$H$16</f>
        <v>124511.19545994185</v>
      </c>
      <c r="P13" s="31">
        <f>VLOOKUP($A$4:$A$30,'[7]Anexo VII- CSC - SERV.'!$A$4:$D$37,4,)</f>
        <v>97364.27</v>
      </c>
      <c r="Q13" s="31">
        <f>VLOOKUP($A$4:$A$30,'[7]Anexo VII- CSC - SERV.'!$A$4:$F$38,6,)-P13</f>
        <v>11374.589459941722</v>
      </c>
      <c r="R13" s="72">
        <f>VLOOKUP($A$4:$A$30,'[7]Anexo VII- CSC - SERV.'!$A$4:$F$38,6,)-(P13+Q13)</f>
        <v>0</v>
      </c>
      <c r="S13" s="31"/>
      <c r="U13" s="31">
        <f>VLOOKUP($A$4:$A$30,'[7] Anexo VIII-TARIFAS BANCÁRIAS'!$A$3:$D$35,4,)</f>
        <v>4047.925050624001</v>
      </c>
      <c r="W13" s="35">
        <f>VLOOKUP($A$4:$A$30,'[7]Anexo III- Qde Prof_Empr_RRT'!$A$5:$X$37,3,)</f>
        <v>2161</v>
      </c>
      <c r="X13" s="35">
        <f>VLOOKUP($A$4:$A$30,'[7]Anexo III- Qde Prof_Empr_RRT'!$A$5:$X$37,6,)</f>
        <v>2133</v>
      </c>
      <c r="Y13" s="36">
        <f>VLOOKUP($A$4:$A$30,'[7]Anexo III- Qde Prof_Empr_RRT'!$A$5:$X$37,12,)</f>
        <v>35.067979371776829</v>
      </c>
      <c r="Z13" s="35">
        <f>VLOOKUP($A$4:$A$30,'[7]Anexo III- Qde Prof_Empr_RRT'!$A$5:$X$37,15,)</f>
        <v>301</v>
      </c>
      <c r="AA13" s="36">
        <f>VLOOKUP($A$4:$A$30,'[7]Anexo III- Qde Prof_Empr_RRT'!$A$5:$X$37,21,)</f>
        <v>63.455149501661126</v>
      </c>
      <c r="AB13" s="35">
        <f>VLOOKUP($A$4:$A$30,'[7]Anexo III- Qde Prof_Empr_RRT'!$A$5:$X$37,24,)</f>
        <v>5542</v>
      </c>
      <c r="AD13" s="28">
        <v>0</v>
      </c>
      <c r="AF13" s="28">
        <f>VLOOKUP($A$4:$A$30,'[8]Demonstrativos 2020'!$A$6:$Y$32,25,)</f>
        <v>67318.429999999993</v>
      </c>
      <c r="AG13" s="28"/>
      <c r="AH13" s="146">
        <v>7153262</v>
      </c>
      <c r="AJ13" s="44" t="s">
        <v>361</v>
      </c>
      <c r="AK13" s="47">
        <f>VLOOKUP($AK$2,'Diretrizes - Resumo'!$A$4:$I$30,9,)</f>
        <v>575825.96</v>
      </c>
      <c r="AR13" s="34"/>
    </row>
    <row r="14" spans="1:44" ht="16.2" thickBot="1" x14ac:dyDescent="0.35">
      <c r="A14" s="38" t="s">
        <v>359</v>
      </c>
      <c r="B14" s="31">
        <f>VLOOKUP($A$4:$A$30,'[6]Anexo V-Resumo Valor 80% '!$A$4:$Q$36,5,)</f>
        <v>4786978.784</v>
      </c>
      <c r="C14" s="31">
        <f>VLOOKUP($A$4:$A$30,'[6]Anexo V-Resumo Valor 80% '!$A$4:$Q$36,6,)</f>
        <v>672571.16</v>
      </c>
      <c r="D14" s="31">
        <f t="shared" si="3"/>
        <v>5459549.9440000001</v>
      </c>
      <c r="E14" s="31">
        <f>VLOOKUP($A$4:$A$30,'[6]Anexo V-Resumo Valor 80% '!$A$4:$Q$36,11,)</f>
        <v>430923.35200000007</v>
      </c>
      <c r="F14" s="31">
        <f>VLOOKUP($A$4:$A$30,'[6]Anexo V-Resumo Valor 80% '!$A$4:$Q$36,12,)</f>
        <v>80833.144</v>
      </c>
      <c r="G14" s="31">
        <f t="shared" si="4"/>
        <v>511756.49600000004</v>
      </c>
      <c r="H14" s="31">
        <f>VLOOKUP($A$4:$A$30,'[6]Anexo V-Resumo Valor 80% '!$A$4:$Q$36,15,)</f>
        <v>4935114.83</v>
      </c>
      <c r="I14" s="31">
        <f>VLOOKUP($A$4:$A$30,'[6]Anexo V-Resumo Valor 80% '!$A$4:$Q$36,17,)</f>
        <v>592965.98</v>
      </c>
      <c r="J14" s="37">
        <f t="shared" si="2"/>
        <v>11499387.25</v>
      </c>
      <c r="K14" s="71">
        <f>J14-VLOOKUP($A$4:$A$30,'[6]Anexo V-Resumo Valor 80% '!$A$4:$S$36,19,)</f>
        <v>0</v>
      </c>
      <c r="L14" s="31">
        <f>VLOOKUP($A$4:$A$30,'[7]Anexo VI.I-Aporte do FA'!$A$4:$C$33,3,)</f>
        <v>208977.01377463364</v>
      </c>
      <c r="M14" s="31"/>
      <c r="N14" s="31"/>
      <c r="P14" s="31">
        <f>VLOOKUP($A$4:$A$30,'[7]Anexo VII- CSC - SERV.'!$A$4:$D$37,4,)</f>
        <v>896349.2</v>
      </c>
      <c r="Q14" s="31">
        <f>VLOOKUP($A$4:$A$30,'[7]Anexo VII- CSC - SERV.'!$A$4:$F$38,6,)-P14</f>
        <v>111232.1710148775</v>
      </c>
      <c r="R14" s="72">
        <f>VLOOKUP($A$4:$A$30,'[7]Anexo VII- CSC - SERV.'!$A$4:$F$38,6,)-(P14+Q14)</f>
        <v>0</v>
      </c>
      <c r="S14" s="31"/>
      <c r="U14" s="31">
        <f>VLOOKUP($A$4:$A$30,'[7] Anexo VIII-TARIFAS BANCÁRIAS'!$A$3:$D$35,4,)</f>
        <v>47746.521404244006</v>
      </c>
      <c r="W14" s="35">
        <f>VLOOKUP($A$4:$A$30,'[7]Anexo III- Qde Prof_Empr_RRT'!$A$5:$X$37,3,)</f>
        <v>17458</v>
      </c>
      <c r="X14" s="35">
        <f>VLOOKUP($A$4:$A$30,'[7]Anexo III- Qde Prof_Empr_RRT'!$A$5:$X$37,6,)</f>
        <v>16749</v>
      </c>
      <c r="Y14" s="36">
        <f>VLOOKUP($A$4:$A$30,'[7]Anexo III- Qde Prof_Empr_RRT'!$A$5:$X$37,12,)</f>
        <v>24.67610006567557</v>
      </c>
      <c r="Z14" s="35">
        <f>VLOOKUP($A$4:$A$30,'[7]Anexo III- Qde Prof_Empr_RRT'!$A$5:$X$37,15,)</f>
        <v>1892</v>
      </c>
      <c r="AA14" s="36">
        <f>VLOOKUP($A$4:$A$30,'[7]Anexo III- Qde Prof_Empr_RRT'!$A$5:$X$37,21,)</f>
        <v>39.746300211416482</v>
      </c>
      <c r="AB14" s="35">
        <f>VLOOKUP($A$4:$A$30,'[7]Anexo III- Qde Prof_Empr_RRT'!$A$5:$X$37,24,)</f>
        <v>56998</v>
      </c>
      <c r="AD14" s="28">
        <v>0</v>
      </c>
      <c r="AF14" s="28">
        <f>VLOOKUP($A$4:$A$30,'[8]Demonstrativos 2020'!$A$6:$Y$32,25,)</f>
        <v>9291279.5399999991</v>
      </c>
      <c r="AG14" s="28"/>
      <c r="AH14" s="146">
        <v>21411923</v>
      </c>
      <c r="AJ14" s="44" t="s">
        <v>12</v>
      </c>
      <c r="AK14" s="46"/>
      <c r="AR14" s="34"/>
    </row>
    <row r="15" spans="1:44" ht="16.2" thickBot="1" x14ac:dyDescent="0.35">
      <c r="A15" s="38" t="s">
        <v>357</v>
      </c>
      <c r="B15" s="31">
        <f>VLOOKUP($A$4:$A$30,'[6]Anexo V-Resumo Valor 80% '!$A$4:$Q$36,5,)</f>
        <v>854276.04800000007</v>
      </c>
      <c r="C15" s="31">
        <f>VLOOKUP($A$4:$A$30,'[6]Anexo V-Resumo Valor 80% '!$A$4:$Q$36,6,)</f>
        <v>228507.67200000002</v>
      </c>
      <c r="D15" s="31">
        <f t="shared" si="3"/>
        <v>1082783.7200000002</v>
      </c>
      <c r="E15" s="31">
        <f>VLOOKUP($A$4:$A$30,'[6]Anexo V-Resumo Valor 80% '!$A$4:$Q$36,11,)</f>
        <v>121900.35200000001</v>
      </c>
      <c r="F15" s="31">
        <f>VLOOKUP($A$4:$A$30,'[6]Anexo V-Resumo Valor 80% '!$A$4:$Q$36,12,)</f>
        <v>53173.90400000001</v>
      </c>
      <c r="G15" s="31">
        <f t="shared" si="4"/>
        <v>175074.25600000002</v>
      </c>
      <c r="H15" s="31">
        <f>VLOOKUP($A$4:$A$30,'[6]Anexo V-Resumo Valor 80% '!$A$4:$Q$36,15,)</f>
        <v>1860776.74</v>
      </c>
      <c r="I15" s="31">
        <f>VLOOKUP($A$4:$A$30,'[6]Anexo V-Resumo Valor 80% '!$A$4:$Q$36,17,)</f>
        <v>144739.51999999999</v>
      </c>
      <c r="J15" s="37">
        <f t="shared" si="2"/>
        <v>3263374.236</v>
      </c>
      <c r="K15" s="71">
        <f>J15-VLOOKUP($A$4:$A$30,'[6]Anexo V-Resumo Valor 80% '!$A$4:$S$36,19,)</f>
        <v>0</v>
      </c>
      <c r="L15" s="31">
        <f>VLOOKUP($A$4:$A$30,'[7]Anexo VI.I-Aporte do FA'!$A$4:$C$33,3,)</f>
        <v>59706.587859465071</v>
      </c>
      <c r="M15" s="31"/>
      <c r="N15" s="31"/>
      <c r="P15" s="31">
        <f>VLOOKUP($A$4:$A$30,'[7]Anexo VII- CSC - SERV.'!$A$4:$D$37,4,)</f>
        <v>256094.92</v>
      </c>
      <c r="Q15" s="31">
        <f>VLOOKUP($A$4:$A$30,'[7]Anexo VII- CSC - SERV.'!$A$4:$F$38,6,)-P15</f>
        <v>30235.562340461736</v>
      </c>
      <c r="R15" s="72">
        <f>VLOOKUP($A$4:$A$30,'[7]Anexo VII- CSC - SERV.'!$A$4:$F$38,6,)-(P15+Q15)</f>
        <v>0</v>
      </c>
      <c r="S15" s="31"/>
      <c r="U15" s="31">
        <f>VLOOKUP($A$4:$A$30,'[7] Anexo VIII-TARIFAS BANCÁRIAS'!$A$3:$D$35,4,)</f>
        <v>14188.692829558004</v>
      </c>
      <c r="W15" s="35">
        <f>VLOOKUP($A$4:$A$30,'[7]Anexo III- Qde Prof_Empr_RRT'!$A$5:$X$37,3,)</f>
        <v>3649</v>
      </c>
      <c r="X15" s="35">
        <f>VLOOKUP($A$4:$A$30,'[7]Anexo III- Qde Prof_Empr_RRT'!$A$5:$X$37,6,)</f>
        <v>3554</v>
      </c>
      <c r="Y15" s="36">
        <f>VLOOKUP($A$4:$A$30,'[7]Anexo III- Qde Prof_Empr_RRT'!$A$5:$X$37,12,)</f>
        <v>36.381541924592007</v>
      </c>
      <c r="Z15" s="35">
        <f>VLOOKUP($A$4:$A$30,'[7]Anexo III- Qde Prof_Empr_RRT'!$A$5:$X$37,15,)</f>
        <v>686</v>
      </c>
      <c r="AA15" s="36">
        <f>VLOOKUP($A$4:$A$30,'[7]Anexo III- Qde Prof_Empr_RRT'!$A$5:$X$37,21,)</f>
        <v>52.915451895043731</v>
      </c>
      <c r="AB15" s="35">
        <f>VLOOKUP($A$4:$A$30,'[7]Anexo III- Qde Prof_Empr_RRT'!$A$5:$X$37,24,)</f>
        <v>21491</v>
      </c>
      <c r="AD15" s="28">
        <v>0</v>
      </c>
      <c r="AF15" s="28">
        <f>VLOOKUP($A$4:$A$30,'[8]Demonstrativos 2020'!$A$6:$Y$32,25,)</f>
        <v>715780.57</v>
      </c>
      <c r="AG15" s="28"/>
      <c r="AH15" s="146">
        <v>2839188</v>
      </c>
      <c r="AJ15" s="44" t="s">
        <v>141</v>
      </c>
      <c r="AK15" s="43">
        <f>VLOOKUP($AK$2,'Diretrizes - Resumo'!$A$4:$U$30,21,)</f>
        <v>66194.068942066035</v>
      </c>
      <c r="AR15" s="34"/>
    </row>
    <row r="16" spans="1:44" ht="16.2" thickBot="1" x14ac:dyDescent="0.35">
      <c r="A16" s="38" t="s">
        <v>355</v>
      </c>
      <c r="B16" s="31">
        <f>VLOOKUP($A$4:$A$30,'[6]Anexo V-Resumo Valor 80% '!$A$4:$Q$36,5,)</f>
        <v>1059141.1679999998</v>
      </c>
      <c r="C16" s="31">
        <f>VLOOKUP($A$4:$A$30,'[6]Anexo V-Resumo Valor 80% '!$A$4:$Q$36,6,)</f>
        <v>128444.17600000001</v>
      </c>
      <c r="D16" s="31">
        <f t="shared" si="3"/>
        <v>1187585.3439999998</v>
      </c>
      <c r="E16" s="31">
        <f>VLOOKUP($A$4:$A$30,'[6]Anexo V-Resumo Valor 80% '!$A$4:$Q$36,11,)</f>
        <v>108266.90399999998</v>
      </c>
      <c r="F16" s="31">
        <f>VLOOKUP($A$4:$A$30,'[6]Anexo V-Resumo Valor 80% '!$A$4:$Q$36,12,)</f>
        <v>47635.456000000006</v>
      </c>
      <c r="G16" s="31">
        <f t="shared" si="4"/>
        <v>155902.35999999999</v>
      </c>
      <c r="H16" s="31">
        <f>VLOOKUP($A$4:$A$30,'[6]Anexo V-Resumo Valor 80% '!$A$4:$Q$36,15,)</f>
        <v>2977710.34</v>
      </c>
      <c r="I16" s="31">
        <f>VLOOKUP($A$4:$A$30,'[6]Anexo V-Resumo Valor 80% '!$A$4:$Q$36,17,)</f>
        <v>129635.94</v>
      </c>
      <c r="J16" s="37">
        <f t="shared" si="2"/>
        <v>4450833.9839999992</v>
      </c>
      <c r="K16" s="71">
        <f>J16-VLOOKUP($A$4:$A$30,'[6]Anexo V-Resumo Valor 80% '!$A$4:$S$36,19,)</f>
        <v>0</v>
      </c>
      <c r="L16" s="31">
        <f>VLOOKUP($A$4:$A$30,'[7]Anexo VI.I-Aporte do FA'!$A$4:$C$33,3,)</f>
        <v>81621.154888239675</v>
      </c>
      <c r="M16" s="31"/>
      <c r="N16" s="31"/>
      <c r="P16" s="31">
        <f>VLOOKUP($A$4:$A$30,'[7]Anexo VII- CSC - SERV.'!$A$4:$D$37,4,)</f>
        <v>350091.41</v>
      </c>
      <c r="Q16" s="31">
        <f>VLOOKUP($A$4:$A$30,'[7]Anexo VII- CSC - SERV.'!$A$4:$F$38,6,)-P16</f>
        <v>42028.667586903612</v>
      </c>
      <c r="R16" s="72">
        <f>VLOOKUP($A$4:$A$30,'[7]Anexo VII- CSC - SERV.'!$A$4:$F$38,6,)-(P16+Q16)</f>
        <v>0</v>
      </c>
      <c r="S16" s="31"/>
      <c r="U16" s="31">
        <f>VLOOKUP($A$4:$A$30,'[7] Anexo VIII-TARIFAS BANCÁRIAS'!$A$3:$D$35,4,)</f>
        <v>18539.373852427998</v>
      </c>
      <c r="W16" s="35">
        <f>VLOOKUP($A$4:$A$30,'[7]Anexo III- Qde Prof_Empr_RRT'!$A$5:$X$37,3,)</f>
        <v>3626</v>
      </c>
      <c r="X16" s="35">
        <f>VLOOKUP($A$4:$A$30,'[7]Anexo III- Qde Prof_Empr_RRT'!$A$5:$X$37,6,)</f>
        <v>3563</v>
      </c>
      <c r="Y16" s="36">
        <f>VLOOKUP($A$4:$A$30,'[7]Anexo III- Qde Prof_Empr_RRT'!$A$5:$X$37,12,)</f>
        <v>23.294976143699131</v>
      </c>
      <c r="Z16" s="35">
        <f>VLOOKUP($A$4:$A$30,'[7]Anexo III- Qde Prof_Empr_RRT'!$A$5:$X$37,15,)</f>
        <v>643</v>
      </c>
      <c r="AA16" s="36">
        <f>VLOOKUP($A$4:$A$30,'[7]Anexo III- Qde Prof_Empr_RRT'!$A$5:$X$37,21,)</f>
        <v>55.520995334370141</v>
      </c>
      <c r="AB16" s="35">
        <f>VLOOKUP($A$4:$A$30,'[7]Anexo III- Qde Prof_Empr_RRT'!$A$5:$X$37,24,)</f>
        <v>34391</v>
      </c>
      <c r="AD16" s="28">
        <v>0</v>
      </c>
      <c r="AF16" s="28">
        <f>VLOOKUP($A$4:$A$30,'[8]Demonstrativos 2020'!$A$6:$Y$32,25,)</f>
        <v>1836973.55</v>
      </c>
      <c r="AG16" s="28"/>
      <c r="AH16" s="146">
        <v>3567234</v>
      </c>
      <c r="AJ16" s="44" t="s">
        <v>13</v>
      </c>
      <c r="AK16" s="43">
        <f>VLOOKUP($AK$2,'Diretrizes - Resumo'!$A$4:$N$30,14,)</f>
        <v>0</v>
      </c>
      <c r="AR16" s="34"/>
    </row>
    <row r="17" spans="1:44" ht="16.2" thickBot="1" x14ac:dyDescent="0.35">
      <c r="A17" s="38" t="s">
        <v>353</v>
      </c>
      <c r="B17" s="31">
        <f>VLOOKUP($A$4:$A$30,'[6]Anexo V-Resumo Valor 80% '!$A$4:$Q$36,5,)</f>
        <v>631256.57600000012</v>
      </c>
      <c r="C17" s="31">
        <f>VLOOKUP($A$4:$A$30,'[6]Anexo V-Resumo Valor 80% '!$A$4:$Q$36,6,)</f>
        <v>288818.38400000002</v>
      </c>
      <c r="D17" s="31">
        <f t="shared" si="3"/>
        <v>920074.9600000002</v>
      </c>
      <c r="E17" s="31">
        <f>VLOOKUP($A$4:$A$30,'[6]Anexo V-Resumo Valor 80% '!$A$4:$Q$36,11,)</f>
        <v>51412.072</v>
      </c>
      <c r="F17" s="31">
        <f>VLOOKUP($A$4:$A$30,'[6]Anexo V-Resumo Valor 80% '!$A$4:$Q$36,12,)</f>
        <v>30925.567999999999</v>
      </c>
      <c r="G17" s="31">
        <f t="shared" si="4"/>
        <v>82337.64</v>
      </c>
      <c r="H17" s="31">
        <f>VLOOKUP($A$4:$A$30,'[6]Anexo V-Resumo Valor 80% '!$A$4:$Q$36,15,)</f>
        <v>718127.7</v>
      </c>
      <c r="I17" s="31">
        <f>VLOOKUP($A$4:$A$30,'[6]Anexo V-Resumo Valor 80% '!$A$4:$Q$36,17,)</f>
        <v>77424.31</v>
      </c>
      <c r="J17" s="37">
        <f t="shared" si="2"/>
        <v>1797964.6100000003</v>
      </c>
      <c r="K17" s="71">
        <f>J17-VLOOKUP($A$4:$A$30,'[6]Anexo V-Resumo Valor 80% '!$A$4:$S$36,19,)</f>
        <v>0</v>
      </c>
      <c r="L17" s="31">
        <f>VLOOKUP($A$4:$A$30,'[7]Anexo VI.I-Aporte do FA'!$A$4:$C$33,3,)</f>
        <v>32368.105936475167</v>
      </c>
      <c r="M17" s="31"/>
      <c r="N17" s="31"/>
      <c r="P17" s="31">
        <f>VLOOKUP($A$4:$A$30,'[7]Anexo VII- CSC - SERV.'!$A$4:$D$37,4,)</f>
        <v>138834.04999999999</v>
      </c>
      <c r="Q17" s="31">
        <f>VLOOKUP($A$4:$A$30,'[7]Anexo VII- CSC - SERV.'!$A$4:$F$38,6,)-P17</f>
        <v>16260.147768444294</v>
      </c>
      <c r="R17" s="72">
        <f>VLOOKUP($A$4:$A$30,'[7]Anexo VII- CSC - SERV.'!$A$4:$F$38,6,)-(P17+Q17)</f>
        <v>0</v>
      </c>
      <c r="S17" s="31"/>
      <c r="U17" s="31">
        <f>VLOOKUP($A$4:$A$30,'[7] Anexo VIII-TARIFAS BANCÁRIAS'!$A$3:$D$35,4,)</f>
        <v>7872.5147328100011</v>
      </c>
      <c r="W17" s="35">
        <f>VLOOKUP($A$4:$A$30,'[7]Anexo III- Qde Prof_Empr_RRT'!$A$5:$X$37,3,)</f>
        <v>3191.6</v>
      </c>
      <c r="X17" s="35">
        <f>VLOOKUP($A$4:$A$30,'[7]Anexo III- Qde Prof_Empr_RRT'!$A$5:$X$37,6,)</f>
        <v>3024.6</v>
      </c>
      <c r="Y17" s="36">
        <f>VLOOKUP($A$4:$A$30,'[7]Anexo III- Qde Prof_Empr_RRT'!$A$5:$X$37,12,)</f>
        <v>42.306420683726778</v>
      </c>
      <c r="Z17" s="35">
        <f>VLOOKUP($A$4:$A$30,'[7]Anexo III- Qde Prof_Empr_RRT'!$A$5:$X$37,15,)</f>
        <v>435</v>
      </c>
      <c r="AA17" s="36">
        <f>VLOOKUP($A$4:$A$30,'[7]Anexo III- Qde Prof_Empr_RRT'!$A$5:$X$37,21,)</f>
        <v>68.735632183908052</v>
      </c>
      <c r="AB17" s="35">
        <f>VLOOKUP($A$4:$A$30,'[7]Anexo III- Qde Prof_Empr_RRT'!$A$5:$X$37,24,)</f>
        <v>8294</v>
      </c>
      <c r="AD17" s="28">
        <v>0</v>
      </c>
      <c r="AF17" s="28">
        <f>VLOOKUP($A$4:$A$30,'[8]Demonstrativos 2020'!$A$6:$Y$32,25,)</f>
        <v>1313598.9600000002</v>
      </c>
      <c r="AG17" s="28"/>
      <c r="AH17" s="146">
        <v>8777124</v>
      </c>
      <c r="AJ17" s="14"/>
      <c r="AK17" s="40"/>
      <c r="AR17" s="34"/>
    </row>
    <row r="18" spans="1:44" ht="16.2" thickBot="1" x14ac:dyDescent="0.35">
      <c r="A18" s="38" t="s">
        <v>352</v>
      </c>
      <c r="B18" s="31">
        <f>VLOOKUP($A$4:$A$30,'[6]Anexo V-Resumo Valor 80% '!$A$4:$Q$36,5,)</f>
        <v>779545.16800000006</v>
      </c>
      <c r="C18" s="31">
        <f>VLOOKUP($A$4:$A$30,'[6]Anexo V-Resumo Valor 80% '!$A$4:$Q$36,6,)</f>
        <v>158167.88800000001</v>
      </c>
      <c r="D18" s="31">
        <f t="shared" si="3"/>
        <v>937713.0560000001</v>
      </c>
      <c r="E18" s="31">
        <f>VLOOKUP($A$4:$A$30,'[6]Anexo V-Resumo Valor 80% '!$A$4:$Q$36,11,)</f>
        <v>67108.960000000006</v>
      </c>
      <c r="F18" s="31">
        <f>VLOOKUP($A$4:$A$30,'[6]Anexo V-Resumo Valor 80% '!$A$4:$Q$36,12,)</f>
        <v>26325.712</v>
      </c>
      <c r="G18" s="31">
        <f t="shared" si="4"/>
        <v>93434.672000000006</v>
      </c>
      <c r="H18" s="31">
        <f>VLOOKUP($A$4:$A$30,'[6]Anexo V-Resumo Valor 80% '!$A$4:$Q$36,15,)</f>
        <v>832331.99</v>
      </c>
      <c r="I18" s="31">
        <f>VLOOKUP($A$4:$A$30,'[6]Anexo V-Resumo Valor 80% '!$A$4:$Q$36,17,)</f>
        <v>102491.38</v>
      </c>
      <c r="J18" s="37">
        <f t="shared" si="2"/>
        <v>1965971.0980000002</v>
      </c>
      <c r="K18" s="71">
        <f>J18-VLOOKUP($A$4:$A$30,'[6]Anexo V-Resumo Valor 80% '!$A$4:$S$36,19,)</f>
        <v>0</v>
      </c>
      <c r="L18" s="31">
        <f>VLOOKUP($A$4:$A$30,'[7]Anexo VI.I-Aporte do FA'!$A$4:$C$33,3,)</f>
        <v>36436.63269749692</v>
      </c>
      <c r="M18" s="31"/>
      <c r="N18" s="31"/>
      <c r="P18" s="31">
        <f>VLOOKUP($A$4:$A$30,'[7]Anexo VII- CSC - SERV.'!$A$4:$D$37,4,)</f>
        <v>156284.88</v>
      </c>
      <c r="Q18" s="31">
        <f>VLOOKUP($A$4:$A$30,'[7]Anexo VII- CSC - SERV.'!$A$4:$F$38,6,)-P18</f>
        <v>18644.740937998373</v>
      </c>
      <c r="R18" s="72">
        <f>VLOOKUP($A$4:$A$30,'[7]Anexo VII- CSC - SERV.'!$A$4:$F$38,6,)-(P18+Q18)</f>
        <v>0</v>
      </c>
      <c r="S18" s="31">
        <f>VLOOKUP($A$4:$A$30,'[7]Anexo VII.III- SISCAF'!$A$10:$C$28,3,)</f>
        <v>15265.447867322171</v>
      </c>
      <c r="U18" s="31">
        <f>VLOOKUP($A$4:$A$30,'[7] Anexo VIII-TARIFAS BANCÁRIAS'!$A$3:$D$35,4,)</f>
        <v>8597.2352596519995</v>
      </c>
      <c r="W18" s="35">
        <f>VLOOKUP($A$4:$A$30,'[7]Anexo III- Qde Prof_Empr_RRT'!$A$5:$X$37,3,)</f>
        <v>3134</v>
      </c>
      <c r="X18" s="35">
        <f>VLOOKUP($A$4:$A$30,'[7]Anexo III- Qde Prof_Empr_RRT'!$A$5:$X$37,6,)</f>
        <v>3068</v>
      </c>
      <c r="Y18" s="36">
        <f>VLOOKUP($A$4:$A$30,'[7]Anexo III- Qde Prof_Empr_RRT'!$A$5:$X$37,12,)</f>
        <v>30.019556714471975</v>
      </c>
      <c r="Z18" s="35">
        <f>VLOOKUP($A$4:$A$30,'[7]Anexo III- Qde Prof_Empr_RRT'!$A$5:$X$37,15,)</f>
        <v>273</v>
      </c>
      <c r="AA18" s="36">
        <f>VLOOKUP($A$4:$A$30,'[7]Anexo III- Qde Prof_Empr_RRT'!$A$5:$X$37,21,)</f>
        <v>35.164835164835168</v>
      </c>
      <c r="AB18" s="35">
        <f>VLOOKUP($A$4:$A$30,'[7]Anexo III- Qde Prof_Empr_RRT'!$A$5:$X$37,24,)</f>
        <v>9613</v>
      </c>
      <c r="AD18" s="28">
        <v>0</v>
      </c>
      <c r="AF18" s="28">
        <f>VLOOKUP($A$4:$A$30,'[8]Demonstrativos 2020'!$A$6:$Y$32,25,)</f>
        <v>1288484.52</v>
      </c>
      <c r="AG18" s="28"/>
      <c r="AH18" s="146">
        <v>4059905</v>
      </c>
      <c r="AJ18" s="568" t="s">
        <v>364</v>
      </c>
      <c r="AK18" s="569"/>
      <c r="AR18" s="34"/>
    </row>
    <row r="19" spans="1:44" ht="16.2" thickBot="1" x14ac:dyDescent="0.35">
      <c r="A19" s="38" t="s">
        <v>313</v>
      </c>
      <c r="B19" s="31">
        <f>VLOOKUP($A$4:$A$30,'[6]Anexo V-Resumo Valor 80% '!$A$4:$Q$36,5,)</f>
        <v>1465865.0480000004</v>
      </c>
      <c r="C19" s="31">
        <f>VLOOKUP($A$4:$A$30,'[6]Anexo V-Resumo Valor 80% '!$A$4:$Q$36,6,)</f>
        <v>195462.53600000002</v>
      </c>
      <c r="D19" s="31">
        <f t="shared" si="3"/>
        <v>1661327.5840000005</v>
      </c>
      <c r="E19" s="31">
        <f>VLOOKUP($A$4:$A$30,'[6]Anexo V-Resumo Valor 80% '!$A$4:$Q$36,11,)</f>
        <v>118013.40800000001</v>
      </c>
      <c r="F19" s="31">
        <f>VLOOKUP($A$4:$A$30,'[6]Anexo V-Resumo Valor 80% '!$A$4:$Q$36,12,)</f>
        <v>26716.376000000004</v>
      </c>
      <c r="G19" s="31">
        <f t="shared" si="4"/>
        <v>144729.78400000001</v>
      </c>
      <c r="H19" s="31">
        <f>VLOOKUP($A$4:$A$30,'[6]Anexo V-Resumo Valor 80% '!$A$4:$Q$36,15,)</f>
        <v>1582322.6</v>
      </c>
      <c r="I19" s="31">
        <f>VLOOKUP($A$4:$A$30,'[6]Anexo V-Resumo Valor 80% '!$A$4:$Q$36,17,)</f>
        <v>186360.9</v>
      </c>
      <c r="J19" s="37">
        <f t="shared" si="2"/>
        <v>3574740.8680000007</v>
      </c>
      <c r="K19" s="71">
        <f>J19-VLOOKUP($A$4:$A$30,'[6]Anexo V-Resumo Valor 80% '!$A$4:$S$36,19,)</f>
        <v>0</v>
      </c>
      <c r="L19" s="31">
        <f>VLOOKUP($A$4:$A$30,'[7]Anexo VI.I-Aporte do FA'!$A$4:$C$33,3,)</f>
        <v>65037.65631003493</v>
      </c>
      <c r="M19" s="31"/>
      <c r="N19" s="31"/>
      <c r="P19" s="31">
        <f>VLOOKUP($A$4:$A$30,'[7]Anexo VII- CSC - SERV.'!$A$4:$D$37,4,)</f>
        <v>278961.07</v>
      </c>
      <c r="Q19" s="31">
        <f>VLOOKUP($A$4:$A$30,'[7]Anexo VII- CSC - SERV.'!$A$4:$F$38,6,)-P19</f>
        <v>33917.863196986669</v>
      </c>
      <c r="R19" s="72">
        <f>VLOOKUP($A$4:$A$30,'[7]Anexo VII- CSC - SERV.'!$A$4:$F$38,6,)-(P19+Q19)</f>
        <v>0</v>
      </c>
      <c r="S19" s="31"/>
      <c r="U19" s="31">
        <f>VLOOKUP($A$4:$A$30,'[7] Anexo VIII-TARIFAS BANCÁRIAS'!$A$3:$D$35,4,)</f>
        <v>13702.667599894003</v>
      </c>
      <c r="W19" s="35">
        <f>VLOOKUP($A$4:$A$30,'[7]Anexo III- Qde Prof_Empr_RRT'!$A$5:$X$37,3,)</f>
        <v>5504.8</v>
      </c>
      <c r="X19" s="35">
        <f>VLOOKUP($A$4:$A$30,'[7]Anexo III- Qde Prof_Empr_RRT'!$A$5:$X$37,6,)</f>
        <v>5056.8</v>
      </c>
      <c r="Y19" s="36">
        <f>VLOOKUP($A$4:$A$30,'[7]Anexo III- Qde Prof_Empr_RRT'!$A$5:$X$37,12,)</f>
        <v>22.737699731055216</v>
      </c>
      <c r="Z19" s="35">
        <f>VLOOKUP($A$4:$A$30,'[7]Anexo III- Qde Prof_Empr_RRT'!$A$5:$X$37,15,)</f>
        <v>537</v>
      </c>
      <c r="AA19" s="36">
        <f>VLOOKUP($A$4:$A$30,'[7]Anexo III- Qde Prof_Empr_RRT'!$A$5:$X$37,21,)</f>
        <v>38.175046554934823</v>
      </c>
      <c r="AB19" s="35">
        <f>VLOOKUP($A$4:$A$30,'[7]Anexo III- Qde Prof_Empr_RRT'!$A$5:$X$37,24,)</f>
        <v>18275</v>
      </c>
      <c r="AD19" s="28">
        <v>0</v>
      </c>
      <c r="AF19" s="28">
        <f>VLOOKUP($A$4:$A$30,'[8]Demonstrativos 2020'!$A$6:$Y$32,25,)</f>
        <v>781387.39999999991</v>
      </c>
      <c r="AG19" s="28"/>
      <c r="AH19" s="146">
        <v>9674793</v>
      </c>
      <c r="AJ19" s="101" t="s">
        <v>421</v>
      </c>
      <c r="AK19" s="41">
        <f>VLOOKUP($AK$2,'Diretrizes - Resumo'!$A$4:$AB$30,23,)</f>
        <v>18041</v>
      </c>
      <c r="AR19" s="34"/>
    </row>
    <row r="20" spans="1:44" ht="16.2" thickBot="1" x14ac:dyDescent="0.35">
      <c r="A20" s="38" t="s">
        <v>351</v>
      </c>
      <c r="B20" s="31">
        <f>VLOOKUP($A$4:$A$30,'[6]Anexo V-Resumo Valor 80% '!$A$4:$Q$36,5,)</f>
        <v>441365.21600000001</v>
      </c>
      <c r="C20" s="31">
        <f>VLOOKUP($A$4:$A$30,'[6]Anexo V-Resumo Valor 80% '!$A$4:$Q$36,6,)</f>
        <v>55796.368000000009</v>
      </c>
      <c r="D20" s="31">
        <f t="shared" si="3"/>
        <v>497161.58400000003</v>
      </c>
      <c r="E20" s="31">
        <f>VLOOKUP($A$4:$A$30,'[6]Anexo V-Resumo Valor 80% '!$A$4:$Q$36,11,)</f>
        <v>58238.896000000001</v>
      </c>
      <c r="F20" s="31">
        <f>VLOOKUP($A$4:$A$30,'[6]Anexo V-Resumo Valor 80% '!$A$4:$Q$36,12,)</f>
        <v>10494.816000000001</v>
      </c>
      <c r="G20" s="31">
        <f t="shared" si="4"/>
        <v>68733.712</v>
      </c>
      <c r="H20" s="31">
        <f>VLOOKUP($A$4:$A$30,'[6]Anexo V-Resumo Valor 80% '!$A$4:$Q$36,15,)</f>
        <v>415430.03</v>
      </c>
      <c r="I20" s="31">
        <f>VLOOKUP($A$4:$A$30,'[6]Anexo V-Resumo Valor 80% '!$A$4:$Q$36,17,)</f>
        <v>44159.64</v>
      </c>
      <c r="J20" s="37">
        <f t="shared" si="2"/>
        <v>1025484.966</v>
      </c>
      <c r="K20" s="71">
        <f>J20-VLOOKUP($A$4:$A$30,'[6]Anexo V-Resumo Valor 80% '!$A$4:$S$36,19,)</f>
        <v>0</v>
      </c>
      <c r="L20" s="31">
        <f>VLOOKUP($A$4:$A$30,'[7]Anexo VI.I-Aporte do FA'!$A$4:$C$33,3,)</f>
        <v>18707.909105583629</v>
      </c>
      <c r="M20" s="31">
        <f>VLOOKUP($A$4:$A$30,'[7]Anexo VI-Repasse Fundo de Apoio'!$A$4:$G$16,7,)</f>
        <v>16840</v>
      </c>
      <c r="N20" s="31">
        <f>VLOOKUP($A$4:$A$30,'[7]Anexo VI-Repasse Fundo de Apoio'!$A$4:$H$16,8,)</f>
        <v>323635.37833657151</v>
      </c>
      <c r="P20" s="31">
        <f>VLOOKUP($A$4:$A$30,'[7]Anexo VII- CSC - SERV.'!$A$4:$D$37,4,)</f>
        <v>80242.41</v>
      </c>
      <c r="Q20" s="31">
        <f>VLOOKUP($A$4:$A$30,'[7]Anexo VII- CSC - SERV.'!$A$4:$F$38,6,)-P20</f>
        <v>9280.7303365715197</v>
      </c>
      <c r="R20" s="72">
        <f>VLOOKUP($A$4:$A$30,'[7]Anexo VII- CSC - SERV.'!$A$4:$F$38,6,)-(P20+Q20)</f>
        <v>0</v>
      </c>
      <c r="S20" s="31"/>
      <c r="U20" s="31">
        <f>VLOOKUP($A$4:$A$30,'[7] Anexo VIII-TARIFAS BANCÁRIAS'!$A$3:$D$35,4,)</f>
        <v>3293.3190637360003</v>
      </c>
      <c r="W20" s="35">
        <f>VLOOKUP($A$4:$A$30,'[7]Anexo III- Qde Prof_Empr_RRT'!$A$5:$X$37,3,)</f>
        <v>1641</v>
      </c>
      <c r="X20" s="35">
        <f>VLOOKUP($A$4:$A$30,'[7]Anexo III- Qde Prof_Empr_RRT'!$A$5:$X$37,6,)</f>
        <v>1599</v>
      </c>
      <c r="Y20" s="36">
        <f>VLOOKUP($A$4:$A$30,'[7]Anexo III- Qde Prof_Empr_RRT'!$A$5:$X$37,12,)</f>
        <v>25.203252032520325</v>
      </c>
      <c r="Z20" s="35">
        <f>VLOOKUP($A$4:$A$30,'[7]Anexo III- Qde Prof_Empr_RRT'!$A$5:$X$37,15,)</f>
        <v>275</v>
      </c>
      <c r="AA20" s="36">
        <f>VLOOKUP($A$4:$A$30,'[7]Anexo III- Qde Prof_Empr_RRT'!$A$5:$X$37,21,)</f>
        <v>43.63636363636364</v>
      </c>
      <c r="AB20" s="35">
        <f>VLOOKUP($A$4:$A$30,'[7]Anexo III- Qde Prof_Empr_RRT'!$A$5:$X$37,24,)</f>
        <v>4798</v>
      </c>
      <c r="AD20" s="28">
        <v>0</v>
      </c>
      <c r="AF20" s="28">
        <f>VLOOKUP($A$4:$A$30,'[8]Demonstrativos 2020'!$A$6:$Y$32,25,)</f>
        <v>102180.46</v>
      </c>
      <c r="AG20" s="28"/>
      <c r="AH20" s="146">
        <v>3289290</v>
      </c>
      <c r="AJ20" s="101" t="s">
        <v>422</v>
      </c>
      <c r="AK20" s="41">
        <f>VLOOKUP($AK$2,'Diretrizes - Resumo'!$A$4:$AB$30,24,)</f>
        <v>16889</v>
      </c>
      <c r="AR20" s="34"/>
    </row>
    <row r="21" spans="1:44" ht="16.2" thickBot="1" x14ac:dyDescent="0.35">
      <c r="A21" s="38" t="s">
        <v>350</v>
      </c>
      <c r="B21" s="31">
        <f>VLOOKUP($A$4:$A$30,'[6]Anexo V-Resumo Valor 80% '!$A$4:$Q$36,5,)</f>
        <v>3584729.5519999997</v>
      </c>
      <c r="C21" s="31">
        <f>VLOOKUP($A$4:$A$30,'[6]Anexo V-Resumo Valor 80% '!$A$4:$Q$36,6,)</f>
        <v>483287.37599999999</v>
      </c>
      <c r="D21" s="31">
        <f t="shared" si="3"/>
        <v>4068016.9279999998</v>
      </c>
      <c r="E21" s="31">
        <f>VLOOKUP($A$4:$A$30,'[6]Anexo V-Resumo Valor 80% '!$A$4:$Q$36,11,)</f>
        <v>492594.59999999992</v>
      </c>
      <c r="F21" s="31">
        <f>VLOOKUP($A$4:$A$30,'[6]Anexo V-Resumo Valor 80% '!$A$4:$Q$36,12,)</f>
        <v>130089.73600000002</v>
      </c>
      <c r="G21" s="31">
        <f t="shared" si="4"/>
        <v>622684.33599999989</v>
      </c>
      <c r="H21" s="31">
        <f>VLOOKUP($A$4:$A$30,'[6]Anexo V-Resumo Valor 80% '!$A$4:$Q$36,15,)</f>
        <v>6433970.46</v>
      </c>
      <c r="I21" s="31">
        <f>VLOOKUP($A$4:$A$30,'[6]Anexo V-Resumo Valor 80% '!$A$4:$Q$36,17,)</f>
        <v>444986.87</v>
      </c>
      <c r="J21" s="37">
        <f t="shared" si="2"/>
        <v>11569658.594000001</v>
      </c>
      <c r="K21" s="71">
        <f>J21-VLOOKUP($A$4:$A$30,'[6]Anexo V-Resumo Valor 80% '!$A$4:$S$36,19,)</f>
        <v>0</v>
      </c>
      <c r="L21" s="31">
        <f>VLOOKUP($A$4:$A$30,'[7]Anexo VI.I-Aporte do FA'!$A$4:$C$33,3,)</f>
        <v>211768.97709494023</v>
      </c>
      <c r="M21" s="31"/>
      <c r="N21" s="31"/>
      <c r="P21" s="31">
        <f>VLOOKUP($A$4:$A$30,'[7]Anexo VII- CSC - SERV.'!$A$4:$D$37,4,)</f>
        <v>908324.56</v>
      </c>
      <c r="Q21" s="31">
        <f>VLOOKUP($A$4:$A$30,'[7]Anexo VII- CSC - SERV.'!$A$4:$F$38,6,)-P21</f>
        <v>109891.24211973045</v>
      </c>
      <c r="R21" s="72">
        <f>VLOOKUP($A$4:$A$30,'[7]Anexo VII- CSC - SERV.'!$A$4:$F$38,6,)-(P21+Q21)</f>
        <v>0</v>
      </c>
      <c r="S21" s="31"/>
      <c r="U21" s="31">
        <f>VLOOKUP($A$4:$A$30,'[7] Anexo VIII-TARIFAS BANCÁRIAS'!$A$3:$D$35,4,)</f>
        <v>55576.003279602017</v>
      </c>
      <c r="W21" s="35">
        <f>VLOOKUP($A$4:$A$30,'[7]Anexo III- Qde Prof_Empr_RRT'!$A$5:$X$37,3,)</f>
        <v>14181</v>
      </c>
      <c r="X21" s="35">
        <f>VLOOKUP($A$4:$A$30,'[7]Anexo III- Qde Prof_Empr_RRT'!$A$5:$X$37,6,)</f>
        <v>13769</v>
      </c>
      <c r="Y21" s="36">
        <f>VLOOKUP($A$4:$A$30,'[7]Anexo III- Qde Prof_Empr_RRT'!$A$5:$X$37,12,)</f>
        <v>30.626770281066158</v>
      </c>
      <c r="Z21" s="35">
        <f>VLOOKUP($A$4:$A$30,'[7]Anexo III- Qde Prof_Empr_RRT'!$A$5:$X$37,15,)</f>
        <v>2791</v>
      </c>
      <c r="AA21" s="36">
        <f>VLOOKUP($A$4:$A$30,'[7]Anexo III- Qde Prof_Empr_RRT'!$A$5:$X$37,21,)</f>
        <v>53.31422429236833</v>
      </c>
      <c r="AB21" s="35">
        <f>VLOOKUP($A$4:$A$30,'[7]Anexo III- Qde Prof_Empr_RRT'!$A$5:$X$37,24,)</f>
        <v>74309</v>
      </c>
      <c r="AD21" s="28">
        <v>0</v>
      </c>
      <c r="AF21" s="28">
        <f>VLOOKUP($A$4:$A$30,'[8]Demonstrativos 2020'!$A$6:$Y$32,25,)</f>
        <v>13878149.049999999</v>
      </c>
      <c r="AG21" s="28"/>
      <c r="AH21" s="146">
        <v>11597484</v>
      </c>
      <c r="AJ21" s="100" t="s">
        <v>360</v>
      </c>
      <c r="AK21" s="45">
        <f>VLOOKUP($AK$2,'Diretrizes - Resumo'!$A$4:$AB$30,25,)</f>
        <v>24.400497365148908</v>
      </c>
      <c r="AR21" s="34"/>
    </row>
    <row r="22" spans="1:44" ht="16.2" thickBot="1" x14ac:dyDescent="0.35">
      <c r="A22" s="38" t="s">
        <v>349</v>
      </c>
      <c r="B22" s="31">
        <f>VLOOKUP($A$4:$A$30,'[6]Anexo V-Resumo Valor 80% '!$A$4:$Q$36,5,)</f>
        <v>4637544.568</v>
      </c>
      <c r="C22" s="31">
        <f>VLOOKUP($A$4:$A$30,'[6]Anexo V-Resumo Valor 80% '!$A$4:$Q$36,6,)</f>
        <v>1377724.6320000002</v>
      </c>
      <c r="D22" s="31">
        <f t="shared" si="3"/>
        <v>6015269.2000000002</v>
      </c>
      <c r="E22" s="31">
        <f>VLOOKUP($A$4:$A$30,'[6]Anexo V-Resumo Valor 80% '!$A$4:$Q$36,11,)</f>
        <v>613813.02400000009</v>
      </c>
      <c r="F22" s="31">
        <f>VLOOKUP($A$4:$A$30,'[6]Anexo V-Resumo Valor 80% '!$A$4:$Q$36,12,)</f>
        <v>307902.50400000002</v>
      </c>
      <c r="G22" s="31">
        <f t="shared" si="4"/>
        <v>921715.52800000017</v>
      </c>
      <c r="H22" s="31">
        <f>VLOOKUP($A$4:$A$30,'[6]Anexo V-Resumo Valor 80% '!$A$4:$Q$36,15,)</f>
        <v>5158328.38</v>
      </c>
      <c r="I22" s="31">
        <f>VLOOKUP($A$4:$A$30,'[6]Anexo V-Resumo Valor 80% '!$A$4:$Q$36,17,)</f>
        <v>665242.22</v>
      </c>
      <c r="J22" s="37">
        <f t="shared" si="2"/>
        <v>12760555.328</v>
      </c>
      <c r="K22" s="71">
        <f>J22-VLOOKUP($A$4:$A$30,'[6]Anexo V-Resumo Valor 80% '!$A$4:$S$36,19,)</f>
        <v>0</v>
      </c>
      <c r="L22" s="31">
        <f>VLOOKUP($A$4:$A$30,'[7]Anexo VI.I-Aporte do FA'!$A$4:$C$33,3,)</f>
        <v>225894.11830159381</v>
      </c>
      <c r="M22" s="31"/>
      <c r="N22" s="31"/>
      <c r="P22" s="31">
        <f>VLOOKUP($A$4:$A$30,'[7]Anexo VII- CSC - SERV.'!$A$4:$D$37,4,)</f>
        <v>968910.45</v>
      </c>
      <c r="Q22" s="31">
        <f>VLOOKUP($A$4:$A$30,'[7]Anexo VII- CSC - SERV.'!$A$4:$F$38,6,)-P22</f>
        <v>127374.78823620477</v>
      </c>
      <c r="R22" s="72">
        <f>VLOOKUP($A$4:$A$30,'[7]Anexo VII- CSC - SERV.'!$A$4:$F$38,6,)-(P22+Q22)</f>
        <v>0</v>
      </c>
      <c r="S22" s="31">
        <f>VLOOKUP($A$4:$A$30,'[7]Anexo VII.III- SISCAF'!$A$10:$C$28,3,)</f>
        <v>157897.52974945167</v>
      </c>
      <c r="U22" s="31">
        <f>VLOOKUP($A$4:$A$30,'[7] Anexo VIII-TARIFAS BANCÁRIAS'!$A$3:$D$35,4,)</f>
        <v>38847.512405962007</v>
      </c>
      <c r="W22" s="35">
        <f>VLOOKUP($A$4:$A$30,'[7]Anexo III- Qde Prof_Empr_RRT'!$A$5:$X$37,3,)</f>
        <v>21599.333333333332</v>
      </c>
      <c r="X22" s="35">
        <f>VLOOKUP($A$4:$A$30,'[7]Anexo III- Qde Prof_Empr_RRT'!$A$5:$X$37,6,)</f>
        <v>18095.333333333332</v>
      </c>
      <c r="Y22" s="36">
        <f>VLOOKUP($A$4:$A$30,'[7]Anexo III- Qde Prof_Empr_RRT'!$A$5:$X$37,12,)</f>
        <v>27.810116788858991</v>
      </c>
      <c r="Z22" s="35">
        <f>VLOOKUP($A$4:$A$30,'[7]Anexo III- Qde Prof_Empr_RRT'!$A$5:$X$37,15,)</f>
        <v>2932</v>
      </c>
      <c r="AA22" s="36">
        <f>VLOOKUP($A$4:$A$30,'[7]Anexo III- Qde Prof_Empr_RRT'!$A$5:$X$37,21,)</f>
        <v>44.611186903137792</v>
      </c>
      <c r="AB22" s="35">
        <f>VLOOKUP($A$4:$A$30,'[7]Anexo III- Qde Prof_Empr_RRT'!$A$5:$X$37,24,)</f>
        <v>59576</v>
      </c>
      <c r="AD22" s="28">
        <v>0</v>
      </c>
      <c r="AF22" s="28">
        <v>5939954.9100000001</v>
      </c>
      <c r="AG22" s="28"/>
      <c r="AH22" s="146">
        <v>17463349</v>
      </c>
      <c r="AJ22" s="42" t="s">
        <v>358</v>
      </c>
      <c r="AK22" s="41">
        <f>VLOOKUP($AK$2,'Diretrizes - Resumo'!$A$4:$AB$30,26,)</f>
        <v>2927</v>
      </c>
      <c r="AR22" s="34"/>
    </row>
    <row r="23" spans="1:44" ht="16.2" thickBot="1" x14ac:dyDescent="0.35">
      <c r="A23" s="38" t="s">
        <v>348</v>
      </c>
      <c r="B23" s="31">
        <f>VLOOKUP($A$4:$A$30,'[6]Anexo V-Resumo Valor 80% '!$A$4:$Q$36,5,)</f>
        <v>713019</v>
      </c>
      <c r="C23" s="31">
        <f>VLOOKUP($A$4:$A$30,'[6]Anexo V-Resumo Valor 80% '!$A$4:$Q$36,6,)</f>
        <v>157137.48799999998</v>
      </c>
      <c r="D23" s="31">
        <f t="shared" si="3"/>
        <v>870156.48800000001</v>
      </c>
      <c r="E23" s="31">
        <f>VLOOKUP($A$4:$A$30,'[6]Anexo V-Resumo Valor 80% '!$A$4:$Q$36,11,)</f>
        <v>52927.455999999998</v>
      </c>
      <c r="F23" s="31">
        <f>VLOOKUP($A$4:$A$30,'[6]Anexo V-Resumo Valor 80% '!$A$4:$Q$36,12,)</f>
        <v>39673.744000000006</v>
      </c>
      <c r="G23" s="31">
        <f t="shared" si="4"/>
        <v>92601.200000000012</v>
      </c>
      <c r="H23" s="31">
        <f>VLOOKUP($A$4:$A$30,'[6]Anexo V-Resumo Valor 80% '!$A$4:$Q$36,15,)</f>
        <v>877269.09</v>
      </c>
      <c r="I23" s="31">
        <f>VLOOKUP($A$4:$A$30,'[6]Anexo V-Resumo Valor 80% '!$A$4:$Q$36,17,)</f>
        <v>81554.3</v>
      </c>
      <c r="J23" s="37">
        <f t="shared" si="2"/>
        <v>1921581.0780000002</v>
      </c>
      <c r="K23" s="71">
        <f>J23-VLOOKUP($A$4:$A$30,'[6]Anexo V-Resumo Valor 80% '!$A$4:$S$36,19,)</f>
        <v>0</v>
      </c>
      <c r="L23" s="31">
        <f>VLOOKUP($A$4:$A$30,'[7]Anexo VI.I-Aporte do FA'!$A$4:$C$33,3,)</f>
        <v>35226.751940680093</v>
      </c>
      <c r="M23" s="31"/>
      <c r="N23" s="31"/>
      <c r="P23" s="31">
        <f>VLOOKUP($A$4:$A$30,'[7]Anexo VII- CSC - SERV.'!$A$4:$D$37,4,)</f>
        <v>151095.43</v>
      </c>
      <c r="Q23" s="31">
        <f>VLOOKUP($A$4:$A$30,'[7]Anexo VII- CSC - SERV.'!$A$4:$F$38,6,)-P23</f>
        <v>18135.485503182223</v>
      </c>
      <c r="R23" s="72">
        <f>VLOOKUP($A$4:$A$30,'[7]Anexo VII- CSC - SERV.'!$A$4:$F$38,6,)-(P23+Q23)</f>
        <v>0</v>
      </c>
      <c r="S23" s="31"/>
      <c r="U23" s="31">
        <f>VLOOKUP($A$4:$A$30,'[7] Anexo VIII-TARIFAS BANCÁRIAS'!$A$3:$D$35,4,)</f>
        <v>7447.4280785060009</v>
      </c>
      <c r="W23" s="35">
        <f>VLOOKUP($A$4:$A$30,'[7]Anexo III- Qde Prof_Empr_RRT'!$A$5:$X$37,3,)</f>
        <v>2816</v>
      </c>
      <c r="X23" s="35">
        <f>VLOOKUP($A$4:$A$30,'[7]Anexo III- Qde Prof_Empr_RRT'!$A$5:$X$37,6,)</f>
        <v>2736</v>
      </c>
      <c r="Y23" s="36">
        <f>VLOOKUP($A$4:$A$30,'[7]Anexo III- Qde Prof_Empr_RRT'!$A$5:$X$37,12,)</f>
        <v>30.701754385964904</v>
      </c>
      <c r="Z23" s="35">
        <f>VLOOKUP($A$4:$A$30,'[7]Anexo III- Qde Prof_Empr_RRT'!$A$5:$X$37,15,)</f>
        <v>316</v>
      </c>
      <c r="AA23" s="36">
        <f>VLOOKUP($A$4:$A$30,'[7]Anexo III- Qde Prof_Empr_RRT'!$A$5:$X$37,21,)</f>
        <v>55.696202531645575</v>
      </c>
      <c r="AB23" s="35">
        <f>VLOOKUP($A$4:$A$30,'[7]Anexo III- Qde Prof_Empr_RRT'!$A$5:$X$37,24,)</f>
        <v>10132</v>
      </c>
      <c r="AD23" s="28">
        <v>0</v>
      </c>
      <c r="AF23" s="28">
        <f>VLOOKUP($A$4:$A$30,'[8]Demonstrativos 2020'!$A$6:$Y$32,25,)</f>
        <v>1125992.78</v>
      </c>
      <c r="AG23" s="28"/>
      <c r="AH23" s="146">
        <v>3560903</v>
      </c>
      <c r="AJ23" s="42" t="s">
        <v>356</v>
      </c>
      <c r="AK23" s="45">
        <f>VLOOKUP($AK$2,'Diretrizes - Resumo'!$A$4:$AB$30,27,)</f>
        <v>44.994875298940897</v>
      </c>
      <c r="AR23" s="34"/>
    </row>
    <row r="24" spans="1:44" ht="16.2" thickBot="1" x14ac:dyDescent="0.35">
      <c r="A24" s="38" t="s">
        <v>347</v>
      </c>
      <c r="B24" s="31">
        <f>VLOOKUP($A$4:$A$30,'[6]Anexo V-Resumo Valor 80% '!$A$4:$Q$36,5,)</f>
        <v>376617.67199999996</v>
      </c>
      <c r="C24" s="31">
        <f>VLOOKUP($A$4:$A$30,'[6]Anexo V-Resumo Valor 80% '!$A$4:$Q$36,6,)</f>
        <v>50792.112000000001</v>
      </c>
      <c r="D24" s="31">
        <f t="shared" si="3"/>
        <v>427409.78399999999</v>
      </c>
      <c r="E24" s="31">
        <f>VLOOKUP($A$4:$A$30,'[6]Anexo V-Resumo Valor 80% '!$A$4:$Q$36,11,)</f>
        <v>41183.200000000004</v>
      </c>
      <c r="F24" s="31">
        <f>VLOOKUP($A$4:$A$30,'[6]Anexo V-Resumo Valor 80% '!$A$4:$Q$36,12,)</f>
        <v>14584.256000000001</v>
      </c>
      <c r="G24" s="31">
        <f t="shared" si="4"/>
        <v>55767.456000000006</v>
      </c>
      <c r="H24" s="31">
        <f>VLOOKUP($A$4:$A$30,'[6]Anexo V-Resumo Valor 80% '!$A$4:$Q$36,15,)</f>
        <v>953030.09</v>
      </c>
      <c r="I24" s="31">
        <f>VLOOKUP($A$4:$A$30,'[6]Anexo V-Resumo Valor 80% '!$A$4:$Q$36,17,)</f>
        <v>64629.33</v>
      </c>
      <c r="J24" s="37">
        <f t="shared" si="2"/>
        <v>1500836.66</v>
      </c>
      <c r="K24" s="71">
        <f>J24-VLOOKUP($A$4:$A$30,'[6]Anexo V-Resumo Valor 80% '!$A$4:$S$36,19,)</f>
        <v>0</v>
      </c>
      <c r="L24" s="31">
        <f>VLOOKUP($A$4:$A$30,'[7]Anexo VI.I-Aporte do FA'!$A$4:$C$33,3,)</f>
        <v>27471.485518262714</v>
      </c>
      <c r="M24" s="31"/>
      <c r="N24" s="31"/>
      <c r="P24" s="31">
        <f>VLOOKUP($A$4:$A$30,'[7]Anexo VII- CSC - SERV.'!$A$4:$D$37,4,)</f>
        <v>117831.35</v>
      </c>
      <c r="Q24" s="31">
        <f>VLOOKUP($A$4:$A$30,'[7]Anexo VII- CSC - SERV.'!$A$4:$F$38,6,)-P24</f>
        <v>13899.250191988889</v>
      </c>
      <c r="R24" s="72">
        <f>VLOOKUP($A$4:$A$30,'[7]Anexo VII- CSC - SERV.'!$A$4:$F$38,6,)-(P24+Q24)</f>
        <v>0</v>
      </c>
      <c r="S24" s="31"/>
      <c r="U24" s="31">
        <f>'[7] Anexo VIII-TARIFAS BANCÁRIAS'!$D$7</f>
        <v>5793.1311791340013</v>
      </c>
      <c r="W24" s="35">
        <f>VLOOKUP($A$4:$A$30,'[7]Anexo III- Qde Prof_Empr_RRT'!$A$5:$X$37,3,)</f>
        <v>1461.8</v>
      </c>
      <c r="X24" s="35">
        <f>VLOOKUP($A$4:$A$30,'[7]Anexo III- Qde Prof_Empr_RRT'!$A$5:$X$37,6,)</f>
        <v>1442.8</v>
      </c>
      <c r="Y24" s="36">
        <f>VLOOKUP($A$4:$A$30,'[7]Anexo III- Qde Prof_Empr_RRT'!$A$5:$X$37,12,)</f>
        <v>28.611034100360413</v>
      </c>
      <c r="Z24" s="35">
        <f>VLOOKUP($A$4:$A$30,'[7]Anexo III- Qde Prof_Empr_RRT'!$A$5:$X$37,15,)</f>
        <v>241</v>
      </c>
      <c r="AA24" s="36">
        <f>VLOOKUP($A$4:$A$30,'[7]Anexo III- Qde Prof_Empr_RRT'!$A$5:$X$37,21,)</f>
        <v>54.771784232365142</v>
      </c>
      <c r="AB24" s="35">
        <f>VLOOKUP($A$4:$A$30,'[7]Anexo III- Qde Prof_Empr_RRT'!$A$5:$X$37,24,)</f>
        <v>11007</v>
      </c>
      <c r="AD24" s="28">
        <v>0</v>
      </c>
      <c r="AF24" s="28">
        <f>VLOOKUP($A$4:$A$30,'[8]Demonstrativos 2020'!$A$6:$Y$32,25,)</f>
        <v>1207427.8900000001</v>
      </c>
      <c r="AG24" s="28"/>
      <c r="AH24" s="146">
        <v>1815278</v>
      </c>
      <c r="AJ24" s="100" t="s">
        <v>354</v>
      </c>
      <c r="AK24" s="41">
        <f>VLOOKUP($AK$2,'Diretrizes - Resumo'!$A$4:$AB$30,28,)</f>
        <v>94432</v>
      </c>
      <c r="AR24" s="34"/>
    </row>
    <row r="25" spans="1:44" ht="16.2" thickBot="1" x14ac:dyDescent="0.35">
      <c r="A25" s="38" t="s">
        <v>346</v>
      </c>
      <c r="B25" s="31">
        <f>VLOOKUP($A$4:$A$30,'[6]Anexo V-Resumo Valor 80% '!$A$4:$Q$36,5,)</f>
        <v>58052.096000000012</v>
      </c>
      <c r="C25" s="31">
        <f>VLOOKUP($A$4:$A$30,'[6]Anexo V-Resumo Valor 80% '!$A$4:$Q$36,6,)</f>
        <v>10597.968000000001</v>
      </c>
      <c r="D25" s="31">
        <f t="shared" si="3"/>
        <v>68650.064000000013</v>
      </c>
      <c r="E25" s="31">
        <f>VLOOKUP($A$4:$A$30,'[6]Anexo V-Resumo Valor 80% '!$A$4:$Q$36,11,)</f>
        <v>8061.8640000000014</v>
      </c>
      <c r="F25" s="31">
        <f>VLOOKUP($A$4:$A$30,'[6]Anexo V-Resumo Valor 80% '!$A$4:$Q$36,12,)</f>
        <v>4434.5600000000004</v>
      </c>
      <c r="G25" s="31">
        <f t="shared" si="4"/>
        <v>12496.424000000003</v>
      </c>
      <c r="H25" s="31">
        <f>VLOOKUP($A$4:$A$30,'[6]Anexo V-Resumo Valor 80% '!$A$4:$Q$36,15,)</f>
        <v>109875.1</v>
      </c>
      <c r="I25" s="31">
        <f>VLOOKUP($A$4:$A$30,'[6]Anexo V-Resumo Valor 80% '!$A$4:$Q$36,17,)</f>
        <v>7640.86</v>
      </c>
      <c r="J25" s="37">
        <f t="shared" si="2"/>
        <v>198662.44800000003</v>
      </c>
      <c r="K25" s="71">
        <f>J25-VLOOKUP($A$4:$A$30,'[6]Anexo V-Resumo Valor 80% '!$A$4:$S$36,19,)</f>
        <v>0</v>
      </c>
      <c r="L25" s="31">
        <f>VLOOKUP($A$4:$A$30,'[7]Anexo VI.I-Aporte do FA'!$A$4:$C$33,3,)</f>
        <v>3667.0231318440547</v>
      </c>
      <c r="M25" s="31">
        <f>VLOOKUP($A$4:$A$30,'[7]Anexo VI-Repasse Fundo de Apoio'!$A$4:$G$16,7,)</f>
        <v>17640</v>
      </c>
      <c r="N25" s="31">
        <f>VLOOKUP($A$4:$A$30,'[7]Anexo VI-Repasse Fundo de Apoio'!$A$4:$H$16,8,)</f>
        <v>1027072.3434838187</v>
      </c>
      <c r="P25" s="31">
        <f>VLOOKUP($A$4:$A$30,'[7]Anexo VII- CSC - SERV.'!$A$4:$D$37,4,)</f>
        <v>15728.68</v>
      </c>
      <c r="Q25" s="31">
        <f>VLOOKUP($A$4:$A$30,'[7]Anexo VII- CSC - SERV.'!$A$4:$F$38,6,)-P25</f>
        <v>1935.0334838186973</v>
      </c>
      <c r="R25" s="72">
        <f>VLOOKUP($A$4:$A$30,'[7]Anexo VII- CSC - SERV.'!$A$4:$F$38,6,)-(P25+Q25)</f>
        <v>0</v>
      </c>
      <c r="S25" s="31"/>
      <c r="U25" s="31">
        <f>VLOOKUP($A$4:$A$30,'[7] Anexo VIII-TARIFAS BANCÁRIAS'!$A$3:$D$35,4,)</f>
        <v>735.73557525000024</v>
      </c>
      <c r="W25" s="35">
        <f>VLOOKUP($A$4:$A$30,'[7]Anexo III- Qde Prof_Empr_RRT'!$A$5:$X$37,3,)</f>
        <v>250</v>
      </c>
      <c r="X25" s="35">
        <f>VLOOKUP($A$4:$A$30,'[7]Anexo III- Qde Prof_Empr_RRT'!$A$5:$X$37,6,)</f>
        <v>241</v>
      </c>
      <c r="Y25" s="36">
        <f>VLOOKUP($A$4:$A$30,'[7]Anexo III- Qde Prof_Empr_RRT'!$A$5:$X$37,12,)</f>
        <v>35.269709543568467</v>
      </c>
      <c r="Z25" s="35">
        <f>VLOOKUP($A$4:$A$30,'[7]Anexo III- Qde Prof_Empr_RRT'!$A$5:$X$37,15,)</f>
        <v>64</v>
      </c>
      <c r="AA25" s="36">
        <f>VLOOKUP($A$4:$A$30,'[7]Anexo III- Qde Prof_Empr_RRT'!$A$5:$X$37,21,)</f>
        <v>65.625</v>
      </c>
      <c r="AB25" s="35">
        <f>VLOOKUP($A$4:$A$30,'[7]Anexo III- Qde Prof_Empr_RRT'!$A$5:$X$37,24,)</f>
        <v>1269</v>
      </c>
      <c r="AD25" s="28">
        <v>0</v>
      </c>
      <c r="AF25" s="28">
        <f>VLOOKUP($A$4:$A$30,'[8]Demonstrativos 2020'!$A$6:$Y$32,25,)</f>
        <v>245329.86999999997</v>
      </c>
      <c r="AG25" s="28"/>
      <c r="AH25" s="146">
        <v>652713</v>
      </c>
      <c r="AR25" s="34"/>
    </row>
    <row r="26" spans="1:44" ht="16.2" thickBot="1" x14ac:dyDescent="0.35">
      <c r="A26" s="38" t="s">
        <v>345</v>
      </c>
      <c r="B26" s="31">
        <f>VLOOKUP($A$4:$A$30,'[6]Anexo V-Resumo Valor 80% '!$A$4:$Q$36,5,)</f>
        <v>4734720.0959999999</v>
      </c>
      <c r="C26" s="31">
        <f>VLOOKUP($A$4:$A$30,'[6]Anexo V-Resumo Valor 80% '!$A$4:$Q$36,6,)</f>
        <v>674682.09600000002</v>
      </c>
      <c r="D26" s="31">
        <f t="shared" si="3"/>
        <v>5409402.1919999998</v>
      </c>
      <c r="E26" s="31">
        <f>VLOOKUP($A$4:$A$30,'[6]Anexo V-Resumo Valor 80% '!$A$4:$Q$36,11,)</f>
        <v>608680.91200000001</v>
      </c>
      <c r="F26" s="31">
        <f>VLOOKUP($A$4:$A$30,'[6]Anexo V-Resumo Valor 80% '!$A$4:$Q$36,12,)</f>
        <v>201265.52800000002</v>
      </c>
      <c r="G26" s="31">
        <f t="shared" si="4"/>
        <v>809946.44000000006</v>
      </c>
      <c r="H26" s="31">
        <f>VLOOKUP($A$4:$A$30,'[6]Anexo V-Resumo Valor 80% '!$A$4:$Q$36,15,)</f>
        <v>8176300.29</v>
      </c>
      <c r="I26" s="31">
        <f>VLOOKUP($A$4:$A$30,'[6]Anexo V-Resumo Valor 80% '!$A$4:$Q$36,17,)</f>
        <v>575825.96</v>
      </c>
      <c r="J26" s="37">
        <f t="shared" si="2"/>
        <v>14971474.881999999</v>
      </c>
      <c r="K26" s="71">
        <f>J26-VLOOKUP($A$4:$A$30,'[6]Anexo V-Resumo Valor 80% '!$A$4:$S$36,19,)</f>
        <v>0</v>
      </c>
      <c r="L26" s="31">
        <f>VLOOKUP($A$4:$A$30,'[7]Anexo VI.I-Aporte do FA'!$A$4:$C$33,3,)</f>
        <v>274444.30773230823</v>
      </c>
      <c r="M26" s="31"/>
      <c r="N26" s="31"/>
      <c r="P26" s="31">
        <f>VLOOKUP($A$4:$A$30,'[7]Anexo VII- CSC - SERV.'!$A$4:$D$37,4,)</f>
        <v>1177153.08</v>
      </c>
      <c r="Q26" s="31">
        <f>VLOOKUP($A$4:$A$30,'[7]Anexo VII- CSC - SERV.'!$A$4:$F$38,6,)-P26</f>
        <v>140403.8422811334</v>
      </c>
      <c r="R26" s="72">
        <f>VLOOKUP($A$4:$A$30,'[7]Anexo VII- CSC - SERV.'!$A$4:$F$38,6,)-(P26+Q26)</f>
        <v>0</v>
      </c>
      <c r="S26" s="31"/>
      <c r="U26" s="31">
        <f>VLOOKUP($A$4:$A$30,'[7] Anexo VIII-TARIFAS BANCÁRIAS'!$A$3:$D$35,4,)</f>
        <v>66194.068942066035</v>
      </c>
      <c r="W26" s="35">
        <f>VLOOKUP($A$4:$A$30,'[7]Anexo III- Qde Prof_Empr_RRT'!$A$5:$X$37,3,)</f>
        <v>18041</v>
      </c>
      <c r="X26" s="35">
        <f>VLOOKUP($A$4:$A$30,'[7]Anexo III- Qde Prof_Empr_RRT'!$A$5:$X$37,6,)</f>
        <v>16889</v>
      </c>
      <c r="Y26" s="36">
        <f>VLOOKUP($A$4:$A$30,'[7]Anexo III- Qde Prof_Empr_RRT'!$A$5:$X$37,12,)</f>
        <v>24.400497365148908</v>
      </c>
      <c r="Z26" s="35">
        <f>VLOOKUP($A$4:$A$30,'[7]Anexo III- Qde Prof_Empr_RRT'!$A$5:$X$37,15,)</f>
        <v>2927</v>
      </c>
      <c r="AA26" s="36">
        <f>VLOOKUP($A$4:$A$30,'[7]Anexo III- Qde Prof_Empr_RRT'!$A$5:$X$37,21,)</f>
        <v>44.994875298940897</v>
      </c>
      <c r="AB26" s="35">
        <f>VLOOKUP($A$4:$A$30,'[7]Anexo III- Qde Prof_Empr_RRT'!$A$5:$X$37,24,)</f>
        <v>94432</v>
      </c>
      <c r="AD26" s="28">
        <v>0</v>
      </c>
      <c r="AF26" s="28">
        <f>VLOOKUP($A$4:$A$30,'[8]Demonstrativos 2020'!$A$6:$Y$32,25,)</f>
        <v>18607318.912999999</v>
      </c>
      <c r="AG26" s="28"/>
      <c r="AH26" s="146">
        <v>11466630</v>
      </c>
      <c r="AJ26" s="568" t="s">
        <v>425</v>
      </c>
      <c r="AK26" s="569"/>
      <c r="AR26" s="34"/>
    </row>
    <row r="27" spans="1:44" ht="16.2" thickBot="1" x14ac:dyDescent="0.35">
      <c r="A27" s="38" t="s">
        <v>344</v>
      </c>
      <c r="B27" s="31">
        <f>VLOOKUP($A$4:$A$30,'[6]Anexo V-Resumo Valor 80% '!$A$4:$Q$36,5,)</f>
        <v>3476552.3760000002</v>
      </c>
      <c r="C27" s="31">
        <f>VLOOKUP($A$4:$A$30,'[6]Anexo V-Resumo Valor 80% '!$A$4:$Q$36,6,)</f>
        <v>455971.64800000004</v>
      </c>
      <c r="D27" s="31">
        <f t="shared" si="3"/>
        <v>3932524.0240000002</v>
      </c>
      <c r="E27" s="31">
        <f>VLOOKUP($A$4:$A$30,'[6]Anexo V-Resumo Valor 80% '!$A$4:$Q$36,11,)</f>
        <v>386045.13599999994</v>
      </c>
      <c r="F27" s="31">
        <f>VLOOKUP($A$4:$A$30,'[6]Anexo V-Resumo Valor 80% '!$A$4:$Q$36,12,)</f>
        <v>92983.784</v>
      </c>
      <c r="G27" s="31">
        <f t="shared" si="4"/>
        <v>479028.91999999993</v>
      </c>
      <c r="H27" s="31">
        <f>VLOOKUP($A$4:$A$30,'[6]Anexo V-Resumo Valor 80% '!$A$4:$Q$36,15,)</f>
        <v>5290282.4000000004</v>
      </c>
      <c r="I27" s="31">
        <f>VLOOKUP($A$4:$A$30,'[6]Anexo V-Resumo Valor 80% '!$A$4:$Q$36,17,)</f>
        <v>291055.06</v>
      </c>
      <c r="J27" s="37">
        <f t="shared" si="2"/>
        <v>9992890.4039999992</v>
      </c>
      <c r="K27" s="71">
        <f>J27-VLOOKUP($A$4:$A$30,'[6]Anexo V-Resumo Valor 80% '!$A$4:$S$36,19,)</f>
        <v>0</v>
      </c>
      <c r="L27" s="31">
        <f>VLOOKUP($A$4:$A$30,'[7]Anexo VI.I-Aporte do FA'!$A$4:$C$33,3,)</f>
        <v>182436.80267111809</v>
      </c>
      <c r="M27" s="31"/>
      <c r="N27" s="31"/>
      <c r="P27" s="31">
        <f>VLOOKUP($A$4:$A$30,'[7]Anexo VII- CSC - SERV.'!$A$4:$D$37,4,)</f>
        <v>782512.29</v>
      </c>
      <c r="Q27" s="31">
        <f>VLOOKUP($A$4:$A$30,'[7]Anexo VII- CSC - SERV.'!$A$4:$F$38,6,)-P27</f>
        <v>93809.697409305722</v>
      </c>
      <c r="R27" s="72">
        <f>VLOOKUP($A$4:$A$30,'[7]Anexo VII- CSC - SERV.'!$A$4:$F$38,6,)-(P27+Q27)</f>
        <v>0</v>
      </c>
      <c r="S27" s="31"/>
      <c r="U27" s="31">
        <f>VLOOKUP($A$4:$A$30,'[7] Anexo VIII-TARIFAS BANCÁRIAS'!$A$3:$D$35,4,)</f>
        <v>41160.619951984001</v>
      </c>
      <c r="W27" s="35">
        <f>VLOOKUP($A$4:$A$30,'[7]Anexo III- Qde Prof_Empr_RRT'!$A$5:$X$37,3,)</f>
        <v>11914</v>
      </c>
      <c r="X27" s="35">
        <f>VLOOKUP($A$4:$A$30,'[7]Anexo III- Qde Prof_Empr_RRT'!$A$5:$X$37,6,)</f>
        <v>11626</v>
      </c>
      <c r="Y27" s="36">
        <f>VLOOKUP($A$4:$A$30,'[7]Anexo III- Qde Prof_Empr_RRT'!$A$5:$X$37,12,)</f>
        <v>21.546533631515558</v>
      </c>
      <c r="Z27" s="35">
        <f>VLOOKUP($A$4:$A$30,'[7]Anexo III- Qde Prof_Empr_RRT'!$A$5:$X$37,15,)</f>
        <v>1905</v>
      </c>
      <c r="AA27" s="36">
        <f>VLOOKUP($A$4:$A$30,'[7]Anexo III- Qde Prof_Empr_RRT'!$A$5:$X$37,21,)</f>
        <v>46.351706036745412</v>
      </c>
      <c r="AB27" s="35">
        <f>VLOOKUP($A$4:$A$30,'[7]Anexo III- Qde Prof_Empr_RRT'!$A$5:$X$37,24,)</f>
        <v>61100</v>
      </c>
      <c r="AD27" s="28">
        <v>0</v>
      </c>
      <c r="AF27" s="28">
        <f>VLOOKUP($A$4:$A$30,'[8]Demonstrativos 2020'!$A$6:$Y$32,25,)</f>
        <v>8692538.4800000004</v>
      </c>
      <c r="AG27" s="28"/>
      <c r="AH27" s="146">
        <v>7338473</v>
      </c>
      <c r="AJ27" s="49" t="s">
        <v>426</v>
      </c>
      <c r="AK27" s="41">
        <f>VLOOKUP($AK$2,A4:AH30,34,)</f>
        <v>11466630</v>
      </c>
      <c r="AR27" s="34"/>
    </row>
    <row r="28" spans="1:44" s="39" customFormat="1" ht="16.2" thickBot="1" x14ac:dyDescent="0.35">
      <c r="A28" s="38" t="s">
        <v>343</v>
      </c>
      <c r="B28" s="31">
        <f>VLOOKUP($A$4:$A$30,'[6]Anexo V-Resumo Valor 80% '!$A$4:$Q$36,5,)</f>
        <v>435012.92799999996</v>
      </c>
      <c r="C28" s="31">
        <f>VLOOKUP($A$4:$A$30,'[6]Anexo V-Resumo Valor 80% '!$A$4:$Q$36,6,)</f>
        <v>67014.960000000006</v>
      </c>
      <c r="D28" s="31">
        <f t="shared" si="3"/>
        <v>502027.88799999998</v>
      </c>
      <c r="E28" s="31">
        <f>VLOOKUP($A$4:$A$30,'[6]Anexo V-Resumo Valor 80% '!$A$4:$Q$36,11,)</f>
        <v>38758.576000000001</v>
      </c>
      <c r="F28" s="31">
        <f>VLOOKUP($A$4:$A$30,'[6]Anexo V-Resumo Valor 80% '!$A$4:$Q$36,12,)</f>
        <v>12640.256000000001</v>
      </c>
      <c r="G28" s="31">
        <f t="shared" si="4"/>
        <v>51398.832000000002</v>
      </c>
      <c r="H28" s="31">
        <f>VLOOKUP($A$4:$A$30,'[6]Anexo V-Resumo Valor 80% '!$A$4:$Q$36,15,)</f>
        <v>585134.67000000004</v>
      </c>
      <c r="I28" s="31">
        <f>VLOOKUP($A$4:$A$30,'[6]Anexo V-Resumo Valor 80% '!$A$4:$Q$36,17,)</f>
        <v>49948.9</v>
      </c>
      <c r="J28" s="37">
        <f t="shared" si="2"/>
        <v>1188510.29</v>
      </c>
      <c r="K28" s="71">
        <f>J28-VLOOKUP($A$4:$A$30,'[6]Anexo V-Resumo Valor 80% '!$A$4:$S$36,19,)</f>
        <v>0</v>
      </c>
      <c r="L28" s="31">
        <f>VLOOKUP($A$4:$A$30,'[7]Anexo VI.I-Aporte do FA'!$A$4:$C$33,3,)</f>
        <v>21682.328047667306</v>
      </c>
      <c r="M28" s="31">
        <f>VLOOKUP($A$4:$A$30,'[7]Anexo VI-Repasse Fundo de Apoio'!$A$4:$G$16,7,)</f>
        <v>14440</v>
      </c>
      <c r="N28" s="31">
        <f>VLOOKUP($A$4:$A$30,'[7]Anexo VI-Repasse Fundo de Apoio'!$A$4:$H$16,8,)</f>
        <v>172875.39347385807</v>
      </c>
      <c r="O28" s="29"/>
      <c r="P28" s="31">
        <f>VLOOKUP($A$4:$A$30,'[7]Anexo VII- CSC - SERV.'!$A$4:$D$37,4,)</f>
        <v>93000.36</v>
      </c>
      <c r="Q28" s="31">
        <f>VLOOKUP($A$4:$A$30,'[7]Anexo VII- CSC - SERV.'!$A$4:$F$38,6,)-P28</f>
        <v>11151.627473858112</v>
      </c>
      <c r="R28" s="72">
        <f>VLOOKUP($A$4:$A$30,'[7]Anexo VII- CSC - SERV.'!$A$4:$F$38,6,)-(P28+Q28)</f>
        <v>0</v>
      </c>
      <c r="S28" s="31">
        <f>VLOOKUP($A$4:$A$30,'[7]Anexo VII.III- SISCAF'!$A$10:$C$28,3,)</f>
        <v>8095.1841845333583</v>
      </c>
      <c r="T28" s="28"/>
      <c r="U28" s="31">
        <f>VLOOKUP($A$4:$A$30,'[7] Anexo VIII-TARIFAS BANCÁRIAS'!$A$3:$D$35,4,)</f>
        <v>4426.7815768279997</v>
      </c>
      <c r="V28" s="28"/>
      <c r="W28" s="35">
        <f>VLOOKUP($A$4:$A$30,'[7]Anexo III- Qde Prof_Empr_RRT'!$A$5:$X$37,3,)</f>
        <v>1633</v>
      </c>
      <c r="X28" s="35">
        <f>VLOOKUP($A$4:$A$30,'[7]Anexo III- Qde Prof_Empr_RRT'!$A$5:$X$37,6,)</f>
        <v>1599</v>
      </c>
      <c r="Y28" s="36">
        <f>VLOOKUP($A$4:$A$30,'[7]Anexo III- Qde Prof_Empr_RRT'!$A$5:$X$37,12,)</f>
        <v>28.642901813633529</v>
      </c>
      <c r="Z28" s="35">
        <f>VLOOKUP($A$4:$A$30,'[7]Anexo III- Qde Prof_Empr_RRT'!$A$5:$X$37,15,)</f>
        <v>172</v>
      </c>
      <c r="AA28" s="36">
        <f>VLOOKUP($A$4:$A$30,'[7]Anexo III- Qde Prof_Empr_RRT'!$A$5:$X$37,21,)</f>
        <v>40.697674418604649</v>
      </c>
      <c r="AB28" s="35">
        <f>VLOOKUP($A$4:$A$30,'[7]Anexo III- Qde Prof_Empr_RRT'!$A$5:$X$37,24,)</f>
        <v>6758</v>
      </c>
      <c r="AC28" s="4"/>
      <c r="AD28" s="28">
        <v>0</v>
      </c>
      <c r="AE28" s="4"/>
      <c r="AF28" s="28">
        <f>VLOOKUP($A$4:$A$30,'[8]Demonstrativos 2020'!$A$6:$Y$32,25,)</f>
        <v>778556.55</v>
      </c>
      <c r="AG28" s="28"/>
      <c r="AH28" s="146">
        <v>2338474</v>
      </c>
      <c r="AM28" s="7"/>
      <c r="AR28" s="34"/>
    </row>
    <row r="29" spans="1:44" ht="16.2" thickBot="1" x14ac:dyDescent="0.35">
      <c r="A29" s="38" t="s">
        <v>342</v>
      </c>
      <c r="B29" s="31">
        <f>VLOOKUP($A$4:$A$30,'[6]Anexo V-Resumo Valor 80% '!$A$4:$Q$36,5,)</f>
        <v>17642934.056000002</v>
      </c>
      <c r="C29" s="31">
        <f>VLOOKUP($A$4:$A$30,'[6]Anexo V-Resumo Valor 80% '!$A$4:$Q$36,6,)</f>
        <v>3147567.4000000004</v>
      </c>
      <c r="D29" s="31">
        <f t="shared" si="3"/>
        <v>20790501.456</v>
      </c>
      <c r="E29" s="31">
        <f>VLOOKUP($A$4:$A$30,'[6]Anexo V-Resumo Valor 80% '!$A$4:$Q$36,11,)</f>
        <v>1729808.0079999999</v>
      </c>
      <c r="F29" s="31">
        <f>VLOOKUP($A$4:$A$30,'[6]Anexo V-Resumo Valor 80% '!$A$4:$Q$36,12,)</f>
        <v>422009.97600000002</v>
      </c>
      <c r="G29" s="31">
        <f t="shared" si="4"/>
        <v>2151817.9840000002</v>
      </c>
      <c r="H29" s="31">
        <f>VLOOKUP($A$4:$A$30,'[6]Anexo V-Resumo Valor 80% '!$A$4:$Q$36,15,)</f>
        <v>30198334.600000001</v>
      </c>
      <c r="I29" s="31">
        <f>VLOOKUP($A$4:$A$30,'[6]Anexo V-Resumo Valor 80% '!$A$4:$Q$36,17,)</f>
        <v>1700500.93</v>
      </c>
      <c r="J29" s="37">
        <f t="shared" si="2"/>
        <v>54841154.969999999</v>
      </c>
      <c r="K29" s="71">
        <f>J29-VLOOKUP($A$4:$A$30,'[6]Anexo V-Resumo Valor 80% '!$A$4:$S$36,19,)</f>
        <v>0</v>
      </c>
      <c r="L29" s="31">
        <f>VLOOKUP($A$4:$A$30,'[7]Anexo VI.I-Aporte do FA'!$A$4:$C$33,3,)</f>
        <v>997466.6695633902</v>
      </c>
      <c r="M29" s="31"/>
      <c r="N29" s="31"/>
      <c r="P29" s="31">
        <f>VLOOKUP($A$4:$A$30,'[7]Anexo VII- CSC - SERV.'!$A$4:$D$37,4,)</f>
        <v>4278357.87</v>
      </c>
      <c r="Q29" s="31">
        <f>VLOOKUP($A$4:$A$30,'[7]Anexo VII- CSC - SERV.'!$A$4:$F$38,6,)-P29</f>
        <v>535085.82804265618</v>
      </c>
      <c r="R29" s="72">
        <f>VLOOKUP($A$4:$A$30,'[7]Anexo VII- CSC - SERV.'!$A$4:$F$38,6,)-(P29+Q29)</f>
        <v>0</v>
      </c>
      <c r="S29" s="31"/>
      <c r="U29" s="31">
        <f>VLOOKUP($A$4:$A$30,'[7] Anexo VIII-TARIFAS BANCÁRIAS'!$A$3:$D$35,4,)</f>
        <v>194251.69917792606</v>
      </c>
      <c r="W29" s="35">
        <f>VLOOKUP($A$4:$A$30,'[7]Anexo III- Qde Prof_Empr_RRT'!$A$5:$X$37,3,)</f>
        <v>67388</v>
      </c>
      <c r="X29" s="35">
        <f>VLOOKUP($A$4:$A$30,'[7]Anexo III- Qde Prof_Empr_RRT'!$A$5:$X$37,6,)</f>
        <v>63009</v>
      </c>
      <c r="Y29" s="36">
        <f>VLOOKUP($A$4:$A$30,'[7]Anexo III- Qde Prof_Empr_RRT'!$A$5:$X$37,12,)</f>
        <v>25.999460394546816</v>
      </c>
      <c r="Z29" s="35">
        <f>VLOOKUP($A$4:$A$30,'[7]Anexo III- Qde Prof_Empr_RRT'!$A$5:$X$37,15,)</f>
        <v>8228</v>
      </c>
      <c r="AA29" s="36">
        <f>VLOOKUP($A$4:$A$30,'[7]Anexo III- Qde Prof_Empr_RRT'!$A$5:$X$37,21,)</f>
        <v>44.385026737967912</v>
      </c>
      <c r="AB29" s="35">
        <f>VLOOKUP($A$4:$A$30,'[7]Anexo III- Qde Prof_Empr_RRT'!$A$5:$X$37,24,)</f>
        <v>348775</v>
      </c>
      <c r="AD29" s="28">
        <v>0</v>
      </c>
      <c r="AF29" s="28">
        <f>VLOOKUP($A$4:$A$30,'[8]Demonstrativos 2020'!$A$6:$Y$32,25,)</f>
        <v>38768808.050000004</v>
      </c>
      <c r="AG29" s="28"/>
      <c r="AH29" s="146">
        <v>46649132</v>
      </c>
      <c r="AR29" s="34"/>
    </row>
    <row r="30" spans="1:44" ht="16.2" thickBot="1" x14ac:dyDescent="0.35">
      <c r="A30" s="38" t="s">
        <v>341</v>
      </c>
      <c r="B30" s="31">
        <f>VLOOKUP($A$4:$A$30,'[6]Anexo V-Resumo Valor 80% '!$A$4:$Q$36,5,)</f>
        <v>233109.96000000008</v>
      </c>
      <c r="C30" s="31">
        <f>VLOOKUP($A$4:$A$30,'[6]Anexo V-Resumo Valor 80% '!$A$4:$Q$36,6,)</f>
        <v>33368.248</v>
      </c>
      <c r="D30" s="31">
        <f t="shared" si="3"/>
        <v>266478.2080000001</v>
      </c>
      <c r="E30" s="31">
        <f>VLOOKUP($A$4:$A$30,'[6]Anexo V-Resumo Valor 80% '!$A$4:$Q$36,11,)</f>
        <v>29739.488000000001</v>
      </c>
      <c r="F30" s="31">
        <f>VLOOKUP($A$4:$A$30,'[6]Anexo V-Resumo Valor 80% '!$A$4:$Q$36,12,)</f>
        <v>15518.023999999999</v>
      </c>
      <c r="G30" s="31">
        <f t="shared" si="4"/>
        <v>45257.512000000002</v>
      </c>
      <c r="H30" s="31">
        <f>VLOOKUP($A$4:$A$30,'[6]Anexo V-Resumo Valor 80% '!$A$4:$Q$36,15,)</f>
        <v>478376.6</v>
      </c>
      <c r="I30" s="31">
        <f>VLOOKUP($A$4:$A$30,'[6]Anexo V-Resumo Valor 80% '!$A$4:$Q$36,17,)</f>
        <v>44505.71</v>
      </c>
      <c r="J30" s="37">
        <f t="shared" si="2"/>
        <v>834618.03000000014</v>
      </c>
      <c r="K30" s="71">
        <f>J30-VLOOKUP($A$4:$A$30,'[6]Anexo V-Resumo Valor 80% '!$A$4:$S$36,19,)</f>
        <v>0</v>
      </c>
      <c r="L30" s="31">
        <f>VLOOKUP($A$4:$A$30,'[7]Anexo VI.I-Aporte do FA'!$A$4:$C$33,3,)</f>
        <v>15389.346166549039</v>
      </c>
      <c r="M30" s="31">
        <f>VLOOKUP($A$4:$A$30,'[7]Anexo VI-Repasse Fundo de Apoio'!$A$4:$G$16,7,)</f>
        <v>12440</v>
      </c>
      <c r="N30" s="31">
        <f>VLOOKUP($A$4:$A$30,'[7]Anexo VI-Repasse Fundo de Apoio'!$A$4:$H$16,8,)</f>
        <v>435878.42532100301</v>
      </c>
      <c r="P30" s="31">
        <f>VLOOKUP($A$4:$A$30,'[7]Anexo VII- CSC - SERV.'!$A$4:$D$37,4,)</f>
        <v>66008.350000000006</v>
      </c>
      <c r="Q30" s="31">
        <f>VLOOKUP($A$4:$A$30,'[7]Anexo VII- CSC - SERV.'!$A$4:$F$38,6,)-P30</f>
        <v>8007.9933210030576</v>
      </c>
      <c r="R30" s="72">
        <f>VLOOKUP($A$4:$A$30,'[7]Anexo VII- CSC - SERV.'!$A$4:$F$38,6,)-(P30+Q30)</f>
        <v>0</v>
      </c>
      <c r="S30" s="31">
        <f>VLOOKUP($A$4:$A$30,'[7]Anexo VII.III- SISCAF'!$A$10:$C$28,3,)</f>
        <v>5193.9456658119079</v>
      </c>
      <c r="U30" s="31">
        <f>VLOOKUP($A$4:$A$30,'[7] Anexo VIII-TARIFAS BANCÁRIAS'!$A$3:$D$35,4,)</f>
        <v>3341.2706063620008</v>
      </c>
      <c r="W30" s="35">
        <f>VLOOKUP($A$4:$A$30,'[7]Anexo III- Qde Prof_Empr_RRT'!$A$5:$X$37,3,)</f>
        <v>873</v>
      </c>
      <c r="X30" s="35">
        <f>VLOOKUP($A$4:$A$30,'[7]Anexo III- Qde Prof_Empr_RRT'!$A$5:$X$37,6,)</f>
        <v>854</v>
      </c>
      <c r="Y30" s="36">
        <f>VLOOKUP($A$4:$A$30,'[7]Anexo III- Qde Prof_Empr_RRT'!$A$5:$X$37,12,)</f>
        <v>27.868852459016395</v>
      </c>
      <c r="Z30" s="35">
        <f>VLOOKUP($A$4:$A$30,'[7]Anexo III- Qde Prof_Empr_RRT'!$A$5:$X$37,15,)</f>
        <v>213</v>
      </c>
      <c r="AA30" s="36">
        <f>VLOOKUP($A$4:$A$30,'[7]Anexo III- Qde Prof_Empr_RRT'!$A$5:$X$37,21,)</f>
        <v>63.380281690140841</v>
      </c>
      <c r="AB30" s="35">
        <f>VLOOKUP($A$4:$A$30,'[7]Anexo III- Qde Prof_Empr_RRT'!$A$5:$X$37,24,)</f>
        <v>5525</v>
      </c>
      <c r="AD30" s="28">
        <v>0</v>
      </c>
      <c r="AF30" s="28">
        <f>VLOOKUP($A$4:$A$30,'[8]Demonstrativos 2020'!$A$6:$Y$32,25,)</f>
        <v>863875.25</v>
      </c>
      <c r="AG30" s="28"/>
      <c r="AH30" s="146">
        <v>1607363</v>
      </c>
      <c r="AR30" s="34"/>
    </row>
    <row r="31" spans="1:44" x14ac:dyDescent="0.3">
      <c r="P31" s="33"/>
      <c r="Q31" s="33"/>
    </row>
    <row r="32" spans="1:44" x14ac:dyDescent="0.3">
      <c r="A32" s="32" t="s">
        <v>423</v>
      </c>
      <c r="B32" s="35">
        <v>2</v>
      </c>
      <c r="C32" s="35">
        <f>B32+1</f>
        <v>3</v>
      </c>
      <c r="D32" s="35">
        <f t="shared" ref="D32:AH32" si="5">C32+1</f>
        <v>4</v>
      </c>
      <c r="E32" s="35">
        <f t="shared" si="5"/>
        <v>5</v>
      </c>
      <c r="F32" s="35">
        <f t="shared" si="5"/>
        <v>6</v>
      </c>
      <c r="G32" s="35">
        <f t="shared" si="5"/>
        <v>7</v>
      </c>
      <c r="H32" s="35">
        <f t="shared" si="5"/>
        <v>8</v>
      </c>
      <c r="I32" s="35">
        <f t="shared" si="5"/>
        <v>9</v>
      </c>
      <c r="J32" s="35">
        <f t="shared" si="5"/>
        <v>10</v>
      </c>
      <c r="K32" s="35">
        <f t="shared" si="5"/>
        <v>11</v>
      </c>
      <c r="L32" s="35">
        <f t="shared" si="5"/>
        <v>12</v>
      </c>
      <c r="M32" s="35">
        <f t="shared" si="5"/>
        <v>13</v>
      </c>
      <c r="N32" s="35">
        <f t="shared" si="5"/>
        <v>14</v>
      </c>
      <c r="O32" s="35">
        <f t="shared" si="5"/>
        <v>15</v>
      </c>
      <c r="P32" s="35">
        <f t="shared" si="5"/>
        <v>16</v>
      </c>
      <c r="Q32" s="35">
        <f t="shared" si="5"/>
        <v>17</v>
      </c>
      <c r="R32" s="35">
        <f t="shared" si="5"/>
        <v>18</v>
      </c>
      <c r="S32" s="35">
        <f t="shared" si="5"/>
        <v>19</v>
      </c>
      <c r="T32" s="35">
        <f t="shared" si="5"/>
        <v>20</v>
      </c>
      <c r="U32" s="35">
        <f t="shared" si="5"/>
        <v>21</v>
      </c>
      <c r="V32" s="35">
        <f t="shared" si="5"/>
        <v>22</v>
      </c>
      <c r="W32" s="35">
        <f t="shared" si="5"/>
        <v>23</v>
      </c>
      <c r="X32" s="35">
        <f t="shared" si="5"/>
        <v>24</v>
      </c>
      <c r="Y32" s="35">
        <f t="shared" si="5"/>
        <v>25</v>
      </c>
      <c r="Z32" s="35">
        <f t="shared" si="5"/>
        <v>26</v>
      </c>
      <c r="AA32" s="35">
        <f t="shared" si="5"/>
        <v>27</v>
      </c>
      <c r="AB32" s="35">
        <f t="shared" si="5"/>
        <v>28</v>
      </c>
      <c r="AC32" s="35">
        <f t="shared" si="5"/>
        <v>29</v>
      </c>
      <c r="AD32" s="35">
        <f t="shared" si="5"/>
        <v>30</v>
      </c>
      <c r="AE32" s="35">
        <f t="shared" si="5"/>
        <v>31</v>
      </c>
      <c r="AF32" s="35">
        <f t="shared" si="5"/>
        <v>32</v>
      </c>
      <c r="AG32" s="35">
        <f t="shared" si="5"/>
        <v>33</v>
      </c>
      <c r="AH32" s="35">
        <f t="shared" si="5"/>
        <v>34</v>
      </c>
    </row>
    <row r="33" spans="16:17" hidden="1" x14ac:dyDescent="0.3">
      <c r="P33" s="102"/>
      <c r="Q33" s="102"/>
    </row>
    <row r="34" spans="16:17" hidden="1" x14ac:dyDescent="0.3">
      <c r="P34" s="102"/>
      <c r="Q34" s="102"/>
    </row>
    <row r="35" spans="16:17" hidden="1" x14ac:dyDescent="0.3">
      <c r="P35" s="102"/>
      <c r="Q35" s="102"/>
    </row>
    <row r="36" spans="16:17" hidden="1" x14ac:dyDescent="0.3">
      <c r="P36" s="102"/>
      <c r="Q36" s="102"/>
    </row>
  </sheetData>
  <mergeCells count="20">
    <mergeCell ref="AJ26:AK26"/>
    <mergeCell ref="H2:H3"/>
    <mergeCell ref="J2:J3"/>
    <mergeCell ref="L1:N2"/>
    <mergeCell ref="P1:Q2"/>
    <mergeCell ref="W1:AB1"/>
    <mergeCell ref="W2:Y2"/>
    <mergeCell ref="Z2:AA2"/>
    <mergeCell ref="S1:S2"/>
    <mergeCell ref="U1:U2"/>
    <mergeCell ref="AD2:AD3"/>
    <mergeCell ref="AF2:AF3"/>
    <mergeCell ref="AM2:AN2"/>
    <mergeCell ref="AJ18:AK18"/>
    <mergeCell ref="A1:A3"/>
    <mergeCell ref="B1:J1"/>
    <mergeCell ref="E2:G2"/>
    <mergeCell ref="B2:D2"/>
    <mergeCell ref="I2:I3"/>
    <mergeCell ref="AH2:AH3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rgb="FF2A5664"/>
  </sheetPr>
  <dimension ref="A1:R127"/>
  <sheetViews>
    <sheetView showGridLines="0" zoomScale="80" zoomScaleNormal="80" zoomScaleSheetLayoutView="50" workbookViewId="0">
      <selection activeCell="B5" sqref="B5:F5"/>
    </sheetView>
  </sheetViews>
  <sheetFormatPr defaultColWidth="0" defaultRowHeight="23.4" zeroHeight="1" x14ac:dyDescent="0.45"/>
  <cols>
    <col min="1" max="1" width="74.6640625" style="134" customWidth="1"/>
    <col min="2" max="2" width="81" style="135" customWidth="1"/>
    <col min="3" max="3" width="11.5546875" style="136" customWidth="1"/>
    <col min="4" max="4" width="16.44140625" style="135" customWidth="1"/>
    <col min="5" max="5" width="17" style="135" customWidth="1"/>
    <col min="6" max="6" width="17" style="137" customWidth="1"/>
    <col min="7" max="8" width="17" style="105" hidden="1" customWidth="1"/>
    <col min="9" max="16384" width="9.109375" style="103" hidden="1"/>
  </cols>
  <sheetData>
    <row r="1" spans="1:18" s="104" customFormat="1" ht="48" customHeight="1" x14ac:dyDescent="0.45">
      <c r="A1" s="414" t="s">
        <v>226</v>
      </c>
      <c r="B1" s="415"/>
      <c r="C1" s="415"/>
      <c r="D1" s="415"/>
      <c r="E1" s="415"/>
      <c r="F1" s="415"/>
      <c r="G1" s="251"/>
      <c r="H1" s="251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s="104" customFormat="1" ht="45" customHeight="1" x14ac:dyDescent="0.45">
      <c r="A2" s="416" t="str">
        <f>'[4]Matriz Objetivos x Projetos'!A7:W7</f>
        <v xml:space="preserve">CAU/UF:  </v>
      </c>
      <c r="B2" s="416"/>
      <c r="C2" s="416"/>
      <c r="D2" s="416"/>
      <c r="E2" s="416"/>
      <c r="F2" s="416"/>
      <c r="G2" s="105"/>
      <c r="H2" s="105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8" s="104" customFormat="1" ht="45" customHeight="1" x14ac:dyDescent="0.45">
      <c r="A3" s="416" t="s">
        <v>33</v>
      </c>
      <c r="B3" s="416"/>
      <c r="C3" s="416"/>
      <c r="D3" s="416"/>
      <c r="E3" s="416"/>
      <c r="F3" s="416"/>
    </row>
    <row r="4" spans="1:18" s="104" customFormat="1" ht="21" customHeight="1" x14ac:dyDescent="0.45">
      <c r="A4" s="106"/>
      <c r="B4" s="106"/>
      <c r="C4" s="106"/>
      <c r="D4" s="106"/>
      <c r="E4" s="106"/>
      <c r="F4" s="107"/>
      <c r="G4" s="105"/>
      <c r="H4" s="105"/>
    </row>
    <row r="5" spans="1:18" s="104" customFormat="1" ht="61.5" customHeight="1" thickBot="1" x14ac:dyDescent="0.5">
      <c r="A5" s="256" t="s">
        <v>427</v>
      </c>
      <c r="B5" s="450" t="s">
        <v>345</v>
      </c>
      <c r="C5" s="450"/>
      <c r="D5" s="450"/>
      <c r="E5" s="450"/>
      <c r="F5" s="450"/>
      <c r="G5" s="105"/>
      <c r="H5" s="105"/>
    </row>
    <row r="6" spans="1:18" s="104" customFormat="1" ht="45" customHeight="1" x14ac:dyDescent="0.45">
      <c r="A6" s="434" t="s">
        <v>58</v>
      </c>
      <c r="B6" s="435"/>
      <c r="C6" s="435"/>
      <c r="D6" s="435"/>
      <c r="E6" s="436"/>
      <c r="F6" s="437"/>
      <c r="G6" s="140"/>
      <c r="H6" s="140"/>
    </row>
    <row r="7" spans="1:18" s="104" customFormat="1" ht="45" customHeight="1" x14ac:dyDescent="0.45">
      <c r="A7" s="108" t="s">
        <v>19</v>
      </c>
      <c r="B7" s="438" t="s">
        <v>55</v>
      </c>
      <c r="C7" s="439"/>
      <c r="D7" s="109" t="s">
        <v>56</v>
      </c>
      <c r="E7" s="110" t="s">
        <v>247</v>
      </c>
      <c r="F7" s="111" t="s">
        <v>235</v>
      </c>
      <c r="G7" s="140"/>
      <c r="H7" s="140"/>
    </row>
    <row r="8" spans="1:18" s="104" customFormat="1" ht="30.75" customHeight="1" x14ac:dyDescent="0.45">
      <c r="A8" s="440" t="s">
        <v>258</v>
      </c>
      <c r="B8" s="112" t="s">
        <v>166</v>
      </c>
      <c r="C8" s="442" t="s">
        <v>80</v>
      </c>
      <c r="D8" s="444" t="s">
        <v>75</v>
      </c>
      <c r="E8" s="413">
        <v>0.57999999999999996</v>
      </c>
      <c r="F8" s="421">
        <v>0.57999999999999996</v>
      </c>
      <c r="G8" s="446"/>
      <c r="H8" s="447"/>
      <c r="I8" s="103"/>
      <c r="J8" s="103"/>
      <c r="K8" s="103"/>
      <c r="L8" s="103"/>
      <c r="M8" s="103"/>
      <c r="N8" s="103"/>
      <c r="O8" s="103"/>
      <c r="P8" s="103"/>
      <c r="Q8" s="103"/>
      <c r="R8" s="103"/>
    </row>
    <row r="9" spans="1:18" s="104" customFormat="1" ht="30.75" customHeight="1" x14ac:dyDescent="0.45">
      <c r="A9" s="441"/>
      <c r="B9" s="113" t="s">
        <v>167</v>
      </c>
      <c r="C9" s="443"/>
      <c r="D9" s="444"/>
      <c r="E9" s="413"/>
      <c r="F9" s="421"/>
      <c r="G9" s="446"/>
      <c r="H9" s="447"/>
      <c r="I9" s="103"/>
      <c r="J9" s="103"/>
      <c r="K9" s="103"/>
      <c r="L9" s="103"/>
      <c r="M9" s="103"/>
      <c r="N9" s="103"/>
      <c r="O9" s="103"/>
      <c r="P9" s="103"/>
      <c r="Q9" s="103"/>
      <c r="R9" s="103"/>
    </row>
    <row r="10" spans="1:18" s="104" customFormat="1" ht="24" customHeight="1" x14ac:dyDescent="0.45">
      <c r="A10" s="114"/>
      <c r="B10" s="115"/>
      <c r="C10" s="115"/>
      <c r="D10" s="115"/>
      <c r="E10" s="115"/>
      <c r="F10" s="116"/>
      <c r="G10" s="140"/>
      <c r="H10" s="140"/>
      <c r="I10" s="103"/>
      <c r="J10" s="103"/>
      <c r="K10" s="103"/>
      <c r="L10" s="103"/>
      <c r="M10" s="103"/>
      <c r="N10" s="103"/>
      <c r="O10" s="103"/>
      <c r="P10" s="103"/>
      <c r="Q10" s="103"/>
      <c r="R10" s="103"/>
    </row>
    <row r="11" spans="1:18" s="104" customFormat="1" ht="45" customHeight="1" x14ac:dyDescent="0.45">
      <c r="A11" s="445" t="s">
        <v>57</v>
      </c>
      <c r="B11" s="445"/>
      <c r="C11" s="445"/>
      <c r="D11" s="445"/>
      <c r="E11" s="445"/>
      <c r="F11" s="445"/>
      <c r="G11" s="140"/>
      <c r="H11" s="140"/>
      <c r="I11" s="103"/>
      <c r="J11" s="103"/>
      <c r="K11" s="103"/>
      <c r="L11" s="103"/>
      <c r="M11" s="103"/>
      <c r="N11" s="103"/>
      <c r="O11" s="103"/>
      <c r="P11" s="103"/>
      <c r="Q11" s="103"/>
      <c r="R11" s="103"/>
    </row>
    <row r="12" spans="1:18" s="104" customFormat="1" ht="45" customHeight="1" x14ac:dyDescent="0.45">
      <c r="A12" s="117" t="s">
        <v>20</v>
      </c>
      <c r="B12" s="417" t="s">
        <v>55</v>
      </c>
      <c r="C12" s="417"/>
      <c r="D12" s="118" t="s">
        <v>56</v>
      </c>
      <c r="E12" s="118" t="s">
        <v>247</v>
      </c>
      <c r="F12" s="118" t="s">
        <v>235</v>
      </c>
      <c r="G12" s="140"/>
      <c r="H12" s="140"/>
      <c r="I12" s="103"/>
      <c r="J12" s="103"/>
      <c r="K12" s="103"/>
      <c r="L12" s="103"/>
      <c r="M12" s="103"/>
      <c r="N12" s="103"/>
      <c r="O12" s="103"/>
      <c r="P12" s="103"/>
      <c r="Q12" s="103"/>
      <c r="R12" s="103"/>
    </row>
    <row r="13" spans="1:18" s="104" customFormat="1" ht="34.5" customHeight="1" x14ac:dyDescent="0.45">
      <c r="A13" s="431" t="s">
        <v>259</v>
      </c>
      <c r="B13" s="119" t="s">
        <v>168</v>
      </c>
      <c r="C13" s="430" t="s">
        <v>80</v>
      </c>
      <c r="D13" s="430" t="s">
        <v>169</v>
      </c>
      <c r="E13" s="601">
        <v>0.9</v>
      </c>
      <c r="F13" s="421">
        <v>0.9</v>
      </c>
      <c r="G13" s="447"/>
      <c r="H13" s="447"/>
      <c r="I13" s="103"/>
      <c r="J13" s="103"/>
      <c r="K13" s="103"/>
      <c r="L13" s="103"/>
      <c r="M13" s="103"/>
      <c r="N13" s="103"/>
      <c r="O13" s="103"/>
      <c r="P13" s="103"/>
      <c r="Q13" s="103"/>
      <c r="R13" s="103"/>
    </row>
    <row r="14" spans="1:18" s="104" customFormat="1" ht="34.5" customHeight="1" x14ac:dyDescent="0.45">
      <c r="A14" s="431"/>
      <c r="B14" s="120" t="s">
        <v>170</v>
      </c>
      <c r="C14" s="430"/>
      <c r="D14" s="430"/>
      <c r="E14" s="601"/>
      <c r="F14" s="421"/>
      <c r="G14" s="447"/>
      <c r="H14" s="447"/>
      <c r="I14" s="103"/>
      <c r="J14" s="103"/>
      <c r="K14" s="103"/>
      <c r="L14" s="103"/>
      <c r="M14" s="103"/>
      <c r="N14" s="103"/>
      <c r="O14" s="103"/>
      <c r="P14" s="103"/>
      <c r="Q14" s="103"/>
      <c r="R14" s="103"/>
    </row>
    <row r="15" spans="1:18" s="104" customFormat="1" ht="34.5" customHeight="1" x14ac:dyDescent="0.45">
      <c r="A15" s="431" t="s">
        <v>260</v>
      </c>
      <c r="B15" s="119" t="s">
        <v>171</v>
      </c>
      <c r="C15" s="430" t="s">
        <v>80</v>
      </c>
      <c r="D15" s="430" t="s">
        <v>169</v>
      </c>
      <c r="E15" s="601">
        <v>0.6</v>
      </c>
      <c r="F15" s="421">
        <v>0.6</v>
      </c>
      <c r="G15" s="447"/>
      <c r="H15" s="447"/>
      <c r="I15" s="103"/>
      <c r="J15" s="103"/>
      <c r="K15" s="103"/>
      <c r="L15" s="103"/>
      <c r="M15" s="103"/>
      <c r="N15" s="103"/>
      <c r="O15" s="103"/>
      <c r="P15" s="103"/>
      <c r="Q15" s="103"/>
      <c r="R15" s="103"/>
    </row>
    <row r="16" spans="1:18" s="104" customFormat="1" ht="34.5" customHeight="1" x14ac:dyDescent="0.45">
      <c r="A16" s="431"/>
      <c r="B16" s="120" t="s">
        <v>172</v>
      </c>
      <c r="C16" s="430"/>
      <c r="D16" s="430"/>
      <c r="E16" s="601"/>
      <c r="F16" s="421"/>
      <c r="G16" s="447"/>
      <c r="H16" s="447"/>
      <c r="I16" s="103"/>
      <c r="J16" s="103"/>
      <c r="K16" s="103"/>
      <c r="L16" s="103"/>
      <c r="M16" s="103"/>
      <c r="N16" s="103"/>
      <c r="O16" s="103"/>
      <c r="P16" s="103"/>
      <c r="Q16" s="103"/>
      <c r="R16" s="103"/>
    </row>
    <row r="17" spans="1:18" s="104" customFormat="1" ht="34.5" customHeight="1" x14ac:dyDescent="0.45">
      <c r="A17" s="431" t="s">
        <v>261</v>
      </c>
      <c r="B17" s="432" t="s">
        <v>173</v>
      </c>
      <c r="C17" s="432"/>
      <c r="D17" s="430" t="s">
        <v>169</v>
      </c>
      <c r="E17" s="602">
        <v>0.45</v>
      </c>
      <c r="F17" s="423">
        <v>0.44</v>
      </c>
      <c r="G17" s="448"/>
      <c r="H17" s="448">
        <f>'Diretrizes - Resumo'!AK24/12/'Diretrizes - Resumo'!AK20</f>
        <v>0.4659443029980066</v>
      </c>
      <c r="I17" s="103"/>
      <c r="J17" s="103"/>
      <c r="K17" s="103"/>
      <c r="L17" s="103"/>
      <c r="M17" s="103"/>
      <c r="N17" s="103"/>
      <c r="O17" s="103"/>
      <c r="P17" s="103"/>
      <c r="Q17" s="103"/>
      <c r="R17" s="103"/>
    </row>
    <row r="18" spans="1:18" s="104" customFormat="1" ht="34.5" customHeight="1" x14ac:dyDescent="0.45">
      <c r="A18" s="431"/>
      <c r="B18" s="433" t="s">
        <v>174</v>
      </c>
      <c r="C18" s="433"/>
      <c r="D18" s="430"/>
      <c r="E18" s="603"/>
      <c r="F18" s="423"/>
      <c r="G18" s="448"/>
      <c r="H18" s="448"/>
      <c r="I18" s="103"/>
      <c r="J18" s="103"/>
      <c r="K18" s="103"/>
      <c r="L18" s="103"/>
      <c r="M18" s="103"/>
      <c r="N18" s="103"/>
      <c r="O18" s="103"/>
      <c r="P18" s="103"/>
      <c r="Q18" s="103"/>
      <c r="R18" s="103"/>
    </row>
    <row r="19" spans="1:18" s="104" customFormat="1" ht="34.5" customHeight="1" x14ac:dyDescent="0.45">
      <c r="A19" s="431" t="s">
        <v>262</v>
      </c>
      <c r="B19" s="119" t="s">
        <v>175</v>
      </c>
      <c r="C19" s="430" t="s">
        <v>80</v>
      </c>
      <c r="D19" s="430" t="s">
        <v>169</v>
      </c>
      <c r="E19" s="602">
        <v>0.9</v>
      </c>
      <c r="F19" s="423">
        <v>0.9</v>
      </c>
      <c r="G19" s="447"/>
      <c r="H19" s="447"/>
      <c r="I19" s="103"/>
      <c r="J19" s="103"/>
      <c r="K19" s="103"/>
      <c r="L19" s="103"/>
      <c r="M19" s="103"/>
      <c r="N19" s="103"/>
      <c r="O19" s="103"/>
      <c r="P19" s="103"/>
      <c r="Q19" s="103"/>
      <c r="R19" s="103"/>
    </row>
    <row r="20" spans="1:18" s="104" customFormat="1" ht="34.5" customHeight="1" x14ac:dyDescent="0.45">
      <c r="A20" s="431"/>
      <c r="B20" s="120" t="s">
        <v>176</v>
      </c>
      <c r="C20" s="430"/>
      <c r="D20" s="430"/>
      <c r="E20" s="603"/>
      <c r="F20" s="423"/>
      <c r="G20" s="447"/>
      <c r="H20" s="447"/>
      <c r="I20" s="103"/>
      <c r="J20" s="103"/>
      <c r="K20" s="103"/>
      <c r="L20" s="103"/>
      <c r="M20" s="103"/>
      <c r="N20" s="103"/>
      <c r="O20" s="103"/>
      <c r="P20" s="103"/>
      <c r="Q20" s="103"/>
      <c r="R20" s="103"/>
    </row>
    <row r="21" spans="1:18" s="104" customFormat="1" ht="34.5" customHeight="1" x14ac:dyDescent="0.45">
      <c r="A21" s="431" t="s">
        <v>263</v>
      </c>
      <c r="B21" s="119" t="s">
        <v>177</v>
      </c>
      <c r="C21" s="430" t="s">
        <v>80</v>
      </c>
      <c r="D21" s="430" t="s">
        <v>82</v>
      </c>
      <c r="E21" s="602">
        <v>0.6</v>
      </c>
      <c r="F21" s="423">
        <v>0.6</v>
      </c>
      <c r="G21" s="447"/>
      <c r="H21" s="447"/>
      <c r="I21" s="103"/>
      <c r="J21" s="103"/>
      <c r="K21" s="103"/>
      <c r="L21" s="103"/>
      <c r="M21" s="103"/>
      <c r="N21" s="103"/>
      <c r="O21" s="103"/>
      <c r="P21" s="103"/>
      <c r="Q21" s="103"/>
      <c r="R21" s="103"/>
    </row>
    <row r="22" spans="1:18" s="104" customFormat="1" ht="34.5" customHeight="1" x14ac:dyDescent="0.45">
      <c r="A22" s="431"/>
      <c r="B22" s="120" t="s">
        <v>178</v>
      </c>
      <c r="C22" s="430"/>
      <c r="D22" s="430"/>
      <c r="E22" s="603"/>
      <c r="F22" s="423"/>
      <c r="G22" s="447"/>
      <c r="H22" s="447"/>
      <c r="I22" s="103"/>
      <c r="J22" s="103"/>
      <c r="K22" s="103"/>
      <c r="L22" s="103"/>
      <c r="M22" s="103"/>
      <c r="N22" s="103"/>
      <c r="O22" s="103"/>
      <c r="P22" s="103"/>
      <c r="Q22" s="103"/>
      <c r="R22" s="103"/>
    </row>
    <row r="23" spans="1:18" s="104" customFormat="1" ht="34.5" customHeight="1" x14ac:dyDescent="0.45">
      <c r="A23" s="431" t="s">
        <v>264</v>
      </c>
      <c r="B23" s="119" t="s">
        <v>179</v>
      </c>
      <c r="C23" s="430" t="s">
        <v>80</v>
      </c>
      <c r="D23" s="430" t="s">
        <v>82</v>
      </c>
      <c r="E23" s="602">
        <v>0.5</v>
      </c>
      <c r="F23" s="423">
        <v>0.5</v>
      </c>
      <c r="G23" s="447"/>
      <c r="H23" s="447"/>
      <c r="I23" s="103"/>
      <c r="J23" s="103"/>
      <c r="K23" s="103"/>
      <c r="L23" s="103"/>
      <c r="M23" s="103"/>
      <c r="N23" s="103"/>
      <c r="O23" s="103"/>
      <c r="P23" s="103"/>
      <c r="Q23" s="103"/>
      <c r="R23" s="103"/>
    </row>
    <row r="24" spans="1:18" s="104" customFormat="1" ht="34.5" customHeight="1" x14ac:dyDescent="0.45">
      <c r="A24" s="431"/>
      <c r="B24" s="120" t="s">
        <v>180</v>
      </c>
      <c r="C24" s="430"/>
      <c r="D24" s="430"/>
      <c r="E24" s="603"/>
      <c r="F24" s="423"/>
      <c r="G24" s="447"/>
      <c r="H24" s="447"/>
      <c r="I24" s="103"/>
      <c r="J24" s="103"/>
      <c r="K24" s="103"/>
      <c r="L24" s="103"/>
      <c r="M24" s="103"/>
      <c r="N24" s="103"/>
      <c r="O24" s="103"/>
      <c r="P24" s="103"/>
      <c r="Q24" s="103"/>
      <c r="R24" s="103"/>
    </row>
    <row r="25" spans="1:18" s="104" customFormat="1" ht="34.5" customHeight="1" x14ac:dyDescent="0.45">
      <c r="A25" s="431" t="s">
        <v>265</v>
      </c>
      <c r="B25" s="119" t="s">
        <v>181</v>
      </c>
      <c r="C25" s="430" t="s">
        <v>80</v>
      </c>
      <c r="D25" s="430" t="s">
        <v>81</v>
      </c>
      <c r="E25" s="602">
        <v>0.75</v>
      </c>
      <c r="F25" s="423">
        <v>0.75</v>
      </c>
      <c r="G25" s="447"/>
      <c r="H25" s="447"/>
      <c r="I25" s="103"/>
      <c r="J25" s="103"/>
      <c r="K25" s="103"/>
      <c r="L25" s="103"/>
      <c r="M25" s="103"/>
      <c r="N25" s="103"/>
      <c r="O25" s="103"/>
      <c r="P25" s="103"/>
      <c r="Q25" s="103"/>
      <c r="R25" s="103"/>
    </row>
    <row r="26" spans="1:18" s="104" customFormat="1" ht="34.5" customHeight="1" x14ac:dyDescent="0.45">
      <c r="A26" s="431"/>
      <c r="B26" s="120" t="s">
        <v>182</v>
      </c>
      <c r="C26" s="430"/>
      <c r="D26" s="430"/>
      <c r="E26" s="603"/>
      <c r="F26" s="423"/>
      <c r="G26" s="447"/>
      <c r="H26" s="447"/>
      <c r="I26" s="103"/>
      <c r="J26" s="103"/>
      <c r="K26" s="103"/>
      <c r="L26" s="103"/>
      <c r="M26" s="103"/>
      <c r="N26" s="103"/>
      <c r="O26" s="103"/>
      <c r="P26" s="103"/>
      <c r="Q26" s="103"/>
      <c r="R26" s="103"/>
    </row>
    <row r="27" spans="1:18" s="104" customFormat="1" ht="34.5" customHeight="1" x14ac:dyDescent="0.45">
      <c r="A27" s="431" t="s">
        <v>266</v>
      </c>
      <c r="B27" s="119" t="s">
        <v>183</v>
      </c>
      <c r="C27" s="430" t="s">
        <v>80</v>
      </c>
      <c r="D27" s="430" t="s">
        <v>81</v>
      </c>
      <c r="E27" s="602">
        <v>0.6</v>
      </c>
      <c r="F27" s="423">
        <v>0.6</v>
      </c>
      <c r="G27" s="447"/>
      <c r="H27" s="447"/>
      <c r="I27" s="103"/>
      <c r="J27" s="103"/>
      <c r="K27" s="103"/>
      <c r="L27" s="103"/>
      <c r="M27" s="103"/>
      <c r="N27" s="103"/>
      <c r="O27" s="103"/>
      <c r="P27" s="103"/>
      <c r="Q27" s="103"/>
      <c r="R27" s="103"/>
    </row>
    <row r="28" spans="1:18" s="104" customFormat="1" ht="34.5" customHeight="1" x14ac:dyDescent="0.45">
      <c r="A28" s="431"/>
      <c r="B28" s="120" t="s">
        <v>171</v>
      </c>
      <c r="C28" s="430"/>
      <c r="D28" s="430"/>
      <c r="E28" s="603"/>
      <c r="F28" s="423"/>
      <c r="G28" s="447"/>
      <c r="H28" s="447"/>
      <c r="I28" s="103"/>
      <c r="J28" s="103"/>
      <c r="K28" s="103"/>
      <c r="L28" s="103"/>
      <c r="M28" s="103"/>
      <c r="N28" s="103"/>
      <c r="O28" s="103"/>
      <c r="P28" s="103"/>
      <c r="Q28" s="103"/>
      <c r="R28" s="103"/>
    </row>
    <row r="29" spans="1:18" s="104" customFormat="1" ht="34.5" customHeight="1" x14ac:dyDescent="0.45">
      <c r="A29" s="431" t="s">
        <v>267</v>
      </c>
      <c r="B29" s="119" t="s">
        <v>184</v>
      </c>
      <c r="C29" s="430" t="s">
        <v>80</v>
      </c>
      <c r="D29" s="430" t="s">
        <v>81</v>
      </c>
      <c r="E29" s="602">
        <v>0.6</v>
      </c>
      <c r="F29" s="423">
        <v>0.6</v>
      </c>
      <c r="G29" s="447"/>
      <c r="H29" s="447"/>
      <c r="I29" s="103"/>
      <c r="J29" s="103"/>
      <c r="K29" s="103"/>
      <c r="L29" s="103"/>
      <c r="M29" s="103"/>
      <c r="N29" s="103"/>
      <c r="O29" s="103"/>
      <c r="P29" s="103"/>
      <c r="Q29" s="103"/>
      <c r="R29" s="103"/>
    </row>
    <row r="30" spans="1:18" s="104" customFormat="1" ht="34.5" customHeight="1" x14ac:dyDescent="0.45">
      <c r="A30" s="431"/>
      <c r="B30" s="120" t="s">
        <v>172</v>
      </c>
      <c r="C30" s="430"/>
      <c r="D30" s="430"/>
      <c r="E30" s="603"/>
      <c r="F30" s="423"/>
      <c r="G30" s="447"/>
      <c r="H30" s="447"/>
      <c r="I30" s="103"/>
      <c r="J30" s="103"/>
      <c r="K30" s="103"/>
      <c r="L30" s="103"/>
      <c r="M30" s="103"/>
      <c r="N30" s="103"/>
      <c r="O30" s="103"/>
      <c r="P30" s="103"/>
      <c r="Q30" s="103"/>
      <c r="R30" s="103"/>
    </row>
    <row r="31" spans="1:18" s="104" customFormat="1" ht="34.5" customHeight="1" x14ac:dyDescent="0.45">
      <c r="A31" s="431" t="s">
        <v>268</v>
      </c>
      <c r="B31" s="119" t="s">
        <v>185</v>
      </c>
      <c r="C31" s="430" t="s">
        <v>80</v>
      </c>
      <c r="D31" s="430" t="s">
        <v>81</v>
      </c>
      <c r="E31" s="602">
        <v>0.4</v>
      </c>
      <c r="F31" s="423">
        <v>0.4</v>
      </c>
      <c r="G31" s="447"/>
      <c r="H31" s="447"/>
      <c r="I31" s="103"/>
      <c r="J31" s="103"/>
      <c r="K31" s="103"/>
      <c r="L31" s="103"/>
      <c r="M31" s="103"/>
      <c r="N31" s="103"/>
      <c r="O31" s="103"/>
      <c r="P31" s="103"/>
      <c r="Q31" s="103"/>
      <c r="R31" s="103"/>
    </row>
    <row r="32" spans="1:18" s="104" customFormat="1" ht="34.5" customHeight="1" x14ac:dyDescent="0.45">
      <c r="A32" s="431"/>
      <c r="B32" s="120" t="s">
        <v>186</v>
      </c>
      <c r="C32" s="430"/>
      <c r="D32" s="430"/>
      <c r="E32" s="603"/>
      <c r="F32" s="423"/>
      <c r="G32" s="447"/>
      <c r="H32" s="447"/>
      <c r="I32" s="103"/>
      <c r="J32" s="103"/>
      <c r="K32" s="103"/>
      <c r="L32" s="103"/>
      <c r="M32" s="103"/>
      <c r="N32" s="103"/>
      <c r="O32" s="103"/>
      <c r="P32" s="103"/>
      <c r="Q32" s="103"/>
      <c r="R32" s="103"/>
    </row>
    <row r="33" spans="1:18" s="104" customFormat="1" ht="45" customHeight="1" x14ac:dyDescent="0.45">
      <c r="A33" s="117" t="s">
        <v>21</v>
      </c>
      <c r="B33" s="417" t="s">
        <v>55</v>
      </c>
      <c r="C33" s="417"/>
      <c r="D33" s="118" t="s">
        <v>56</v>
      </c>
      <c r="E33" s="406" t="s">
        <v>247</v>
      </c>
      <c r="F33" s="406" t="s">
        <v>235</v>
      </c>
      <c r="G33" s="141"/>
      <c r="H33" s="141"/>
      <c r="I33" s="103"/>
      <c r="J33" s="103"/>
      <c r="K33" s="103"/>
      <c r="L33" s="103"/>
      <c r="M33" s="103"/>
      <c r="N33" s="103"/>
      <c r="O33" s="103"/>
      <c r="P33" s="103"/>
      <c r="Q33" s="103"/>
      <c r="R33" s="103"/>
    </row>
    <row r="34" spans="1:18" s="104" customFormat="1" ht="34.5" customHeight="1" x14ac:dyDescent="0.45">
      <c r="A34" s="431" t="s">
        <v>269</v>
      </c>
      <c r="B34" s="119" t="s">
        <v>254</v>
      </c>
      <c r="C34" s="430" t="s">
        <v>80</v>
      </c>
      <c r="D34" s="430" t="s">
        <v>76</v>
      </c>
      <c r="E34" s="601">
        <v>0.96</v>
      </c>
      <c r="F34" s="599">
        <v>0.96</v>
      </c>
      <c r="G34" s="447"/>
      <c r="H34" s="447"/>
      <c r="I34" s="103"/>
      <c r="J34" s="103"/>
      <c r="K34" s="103"/>
      <c r="L34" s="103"/>
      <c r="M34" s="103"/>
      <c r="N34" s="103"/>
      <c r="O34" s="103"/>
      <c r="P34" s="103"/>
      <c r="Q34" s="103"/>
      <c r="R34" s="103"/>
    </row>
    <row r="35" spans="1:18" s="104" customFormat="1" ht="34.5" customHeight="1" x14ac:dyDescent="0.45">
      <c r="A35" s="431"/>
      <c r="B35" s="120" t="s">
        <v>255</v>
      </c>
      <c r="C35" s="430"/>
      <c r="D35" s="430"/>
      <c r="E35" s="601"/>
      <c r="F35" s="599"/>
      <c r="G35" s="447"/>
      <c r="H35" s="447"/>
      <c r="I35" s="103"/>
      <c r="J35" s="103"/>
      <c r="K35" s="103"/>
      <c r="L35" s="103"/>
      <c r="M35" s="103"/>
      <c r="N35" s="103"/>
      <c r="O35" s="103"/>
      <c r="P35" s="103"/>
      <c r="Q35" s="103"/>
      <c r="R35" s="103"/>
    </row>
    <row r="36" spans="1:18" s="104" customFormat="1" ht="34.5" customHeight="1" x14ac:dyDescent="0.45">
      <c r="A36" s="431" t="s">
        <v>270</v>
      </c>
      <c r="B36" s="119" t="s">
        <v>83</v>
      </c>
      <c r="C36" s="430" t="s">
        <v>80</v>
      </c>
      <c r="D36" s="430" t="s">
        <v>76</v>
      </c>
      <c r="E36" s="601">
        <v>0.98</v>
      </c>
      <c r="F36" s="599">
        <v>0.98</v>
      </c>
      <c r="G36" s="447"/>
      <c r="H36" s="447"/>
      <c r="I36" s="103"/>
      <c r="J36" s="103"/>
      <c r="K36" s="103"/>
      <c r="L36" s="103"/>
      <c r="M36" s="103"/>
      <c r="N36" s="103"/>
      <c r="O36" s="103"/>
      <c r="P36" s="103"/>
      <c r="Q36" s="103"/>
      <c r="R36" s="103"/>
    </row>
    <row r="37" spans="1:18" s="104" customFormat="1" ht="34.5" customHeight="1" x14ac:dyDescent="0.45">
      <c r="A37" s="431"/>
      <c r="B37" s="120" t="s">
        <v>84</v>
      </c>
      <c r="C37" s="430"/>
      <c r="D37" s="430"/>
      <c r="E37" s="601"/>
      <c r="F37" s="599"/>
      <c r="G37" s="447"/>
      <c r="H37" s="447"/>
      <c r="I37" s="103"/>
      <c r="J37" s="103"/>
      <c r="K37" s="103"/>
      <c r="L37" s="103"/>
      <c r="M37" s="103"/>
      <c r="N37" s="103"/>
      <c r="O37" s="103"/>
      <c r="P37" s="103"/>
      <c r="Q37" s="103"/>
      <c r="R37" s="103"/>
    </row>
    <row r="38" spans="1:18" s="104" customFormat="1" ht="34.5" customHeight="1" x14ac:dyDescent="0.45">
      <c r="A38" s="431" t="s">
        <v>271</v>
      </c>
      <c r="B38" s="119" t="s">
        <v>187</v>
      </c>
      <c r="C38" s="430" t="s">
        <v>80</v>
      </c>
      <c r="D38" s="430" t="s">
        <v>76</v>
      </c>
      <c r="E38" s="601">
        <v>0.4</v>
      </c>
      <c r="F38" s="421">
        <v>0.4</v>
      </c>
      <c r="G38" s="447"/>
      <c r="H38" s="447"/>
      <c r="I38" s="103"/>
      <c r="J38" s="103"/>
      <c r="K38" s="103"/>
      <c r="L38" s="103"/>
      <c r="M38" s="103"/>
      <c r="N38" s="103"/>
      <c r="O38" s="103"/>
      <c r="P38" s="103"/>
      <c r="Q38" s="103"/>
      <c r="R38" s="103"/>
    </row>
    <row r="39" spans="1:18" s="104" customFormat="1" ht="34.5" customHeight="1" x14ac:dyDescent="0.45">
      <c r="A39" s="431"/>
      <c r="B39" s="120" t="s">
        <v>188</v>
      </c>
      <c r="C39" s="430"/>
      <c r="D39" s="430"/>
      <c r="E39" s="601"/>
      <c r="F39" s="421"/>
      <c r="G39" s="447"/>
      <c r="H39" s="447"/>
      <c r="I39" s="103"/>
      <c r="J39" s="103"/>
      <c r="K39" s="103"/>
      <c r="L39" s="103"/>
      <c r="M39" s="103"/>
      <c r="N39" s="103"/>
      <c r="O39" s="103"/>
      <c r="P39" s="103"/>
      <c r="Q39" s="103"/>
      <c r="R39" s="103"/>
    </row>
    <row r="40" spans="1:18" s="104" customFormat="1" ht="45" customHeight="1" x14ac:dyDescent="0.45">
      <c r="A40" s="117" t="s">
        <v>22</v>
      </c>
      <c r="B40" s="417" t="s">
        <v>55</v>
      </c>
      <c r="C40" s="417"/>
      <c r="D40" s="118" t="s">
        <v>56</v>
      </c>
      <c r="E40" s="406" t="s">
        <v>247</v>
      </c>
      <c r="F40" s="406" t="s">
        <v>235</v>
      </c>
      <c r="G40" s="141"/>
      <c r="H40" s="141"/>
      <c r="I40" s="103"/>
      <c r="J40" s="103"/>
      <c r="K40" s="103"/>
      <c r="L40" s="103"/>
      <c r="M40" s="103"/>
      <c r="N40" s="103"/>
      <c r="O40" s="103"/>
      <c r="P40" s="103"/>
      <c r="Q40" s="103"/>
      <c r="R40" s="103"/>
    </row>
    <row r="41" spans="1:18" s="104" customFormat="1" ht="34.5" customHeight="1" x14ac:dyDescent="0.45">
      <c r="A41" s="418" t="s">
        <v>272</v>
      </c>
      <c r="B41" s="121" t="s">
        <v>189</v>
      </c>
      <c r="C41" s="430" t="s">
        <v>80</v>
      </c>
      <c r="D41" s="419" t="s">
        <v>190</v>
      </c>
      <c r="E41" s="601">
        <v>0.9</v>
      </c>
      <c r="F41" s="421">
        <v>0.9</v>
      </c>
      <c r="G41" s="447"/>
      <c r="H41" s="447"/>
      <c r="I41" s="103"/>
      <c r="J41" s="103"/>
      <c r="K41" s="103"/>
      <c r="L41" s="103"/>
      <c r="M41" s="103"/>
      <c r="N41" s="103"/>
      <c r="O41" s="103"/>
      <c r="P41" s="103"/>
      <c r="Q41" s="103"/>
      <c r="R41" s="103"/>
    </row>
    <row r="42" spans="1:18" s="104" customFormat="1" ht="34.5" customHeight="1" x14ac:dyDescent="0.45">
      <c r="A42" s="418"/>
      <c r="B42" s="122" t="s">
        <v>191</v>
      </c>
      <c r="C42" s="430"/>
      <c r="D42" s="419"/>
      <c r="E42" s="601"/>
      <c r="F42" s="421"/>
      <c r="G42" s="447"/>
      <c r="H42" s="447"/>
      <c r="I42" s="103"/>
      <c r="J42" s="103"/>
      <c r="K42" s="103"/>
      <c r="L42" s="103"/>
      <c r="M42" s="103"/>
      <c r="N42" s="103"/>
      <c r="O42" s="103"/>
      <c r="P42" s="103"/>
      <c r="Q42" s="103"/>
      <c r="R42" s="103"/>
    </row>
    <row r="43" spans="1:18" s="104" customFormat="1" ht="34.5" customHeight="1" x14ac:dyDescent="0.45">
      <c r="A43" s="418" t="s">
        <v>273</v>
      </c>
      <c r="B43" s="121" t="s">
        <v>192</v>
      </c>
      <c r="C43" s="430" t="s">
        <v>80</v>
      </c>
      <c r="D43" s="419" t="s">
        <v>82</v>
      </c>
      <c r="E43" s="601">
        <v>0.8</v>
      </c>
      <c r="F43" s="421">
        <v>0.8</v>
      </c>
      <c r="G43" s="447"/>
      <c r="H43" s="447"/>
      <c r="I43" s="103"/>
      <c r="J43" s="103"/>
      <c r="K43" s="103"/>
      <c r="L43" s="103"/>
      <c r="M43" s="103"/>
      <c r="N43" s="103"/>
      <c r="O43" s="103"/>
      <c r="P43" s="103"/>
      <c r="Q43" s="103"/>
      <c r="R43" s="103"/>
    </row>
    <row r="44" spans="1:18" s="104" customFormat="1" ht="34.5" customHeight="1" x14ac:dyDescent="0.45">
      <c r="A44" s="418"/>
      <c r="B44" s="122" t="s">
        <v>193</v>
      </c>
      <c r="C44" s="430"/>
      <c r="D44" s="419"/>
      <c r="E44" s="601"/>
      <c r="F44" s="421"/>
      <c r="G44" s="447"/>
      <c r="H44" s="447"/>
      <c r="I44" s="103"/>
      <c r="J44" s="103"/>
      <c r="K44" s="103"/>
      <c r="L44" s="103"/>
      <c r="M44" s="103"/>
      <c r="N44" s="103"/>
      <c r="O44" s="103"/>
      <c r="P44" s="103"/>
      <c r="Q44" s="103"/>
      <c r="R44" s="103"/>
    </row>
    <row r="45" spans="1:18" s="104" customFormat="1" ht="34.5" customHeight="1" x14ac:dyDescent="0.45">
      <c r="A45" s="418" t="s">
        <v>274</v>
      </c>
      <c r="B45" s="422" t="s">
        <v>194</v>
      </c>
      <c r="C45" s="422"/>
      <c r="D45" s="419" t="s">
        <v>82</v>
      </c>
      <c r="E45" s="602">
        <v>50</v>
      </c>
      <c r="F45" s="423">
        <v>50</v>
      </c>
      <c r="G45" s="449"/>
      <c r="H45" s="449"/>
      <c r="I45" s="103"/>
      <c r="J45" s="103"/>
      <c r="K45" s="103"/>
      <c r="L45" s="103"/>
      <c r="M45" s="103"/>
      <c r="N45" s="103"/>
      <c r="O45" s="103"/>
      <c r="P45" s="103"/>
      <c r="Q45" s="103"/>
      <c r="R45" s="103"/>
    </row>
    <row r="46" spans="1:18" s="104" customFormat="1" ht="34.5" customHeight="1" x14ac:dyDescent="0.45">
      <c r="A46" s="418"/>
      <c r="B46" s="424" t="s">
        <v>195</v>
      </c>
      <c r="C46" s="424"/>
      <c r="D46" s="419"/>
      <c r="E46" s="603"/>
      <c r="F46" s="423"/>
      <c r="G46" s="449"/>
      <c r="H46" s="449"/>
      <c r="I46" s="103"/>
      <c r="J46" s="103"/>
      <c r="K46" s="103"/>
      <c r="L46" s="103"/>
      <c r="M46" s="103"/>
      <c r="N46" s="103"/>
      <c r="O46" s="103"/>
      <c r="P46" s="103"/>
      <c r="Q46" s="103"/>
      <c r="R46" s="103"/>
    </row>
    <row r="47" spans="1:18" s="104" customFormat="1" ht="34.5" customHeight="1" x14ac:dyDescent="0.45">
      <c r="A47" s="418" t="s">
        <v>275</v>
      </c>
      <c r="B47" s="121" t="s">
        <v>196</v>
      </c>
      <c r="C47" s="420" t="s">
        <v>80</v>
      </c>
      <c r="D47" s="419" t="s">
        <v>82</v>
      </c>
      <c r="E47" s="601">
        <v>0.7</v>
      </c>
      <c r="F47" s="421">
        <v>0.7</v>
      </c>
      <c r="G47" s="447"/>
      <c r="H47" s="447"/>
      <c r="I47" s="103"/>
      <c r="J47" s="103"/>
      <c r="K47" s="103"/>
      <c r="L47" s="103"/>
      <c r="M47" s="103"/>
      <c r="N47" s="103"/>
      <c r="O47" s="103"/>
      <c r="P47" s="103"/>
      <c r="Q47" s="103"/>
      <c r="R47" s="103"/>
    </row>
    <row r="48" spans="1:18" ht="34.5" customHeight="1" x14ac:dyDescent="0.45">
      <c r="A48" s="418"/>
      <c r="B48" s="122" t="s">
        <v>197</v>
      </c>
      <c r="C48" s="420"/>
      <c r="D48" s="419"/>
      <c r="E48" s="601"/>
      <c r="F48" s="421"/>
      <c r="G48" s="447"/>
      <c r="H48" s="447"/>
    </row>
    <row r="49" spans="1:18" s="104" customFormat="1" ht="45" customHeight="1" x14ac:dyDescent="0.45">
      <c r="A49" s="117" t="s">
        <v>23</v>
      </c>
      <c r="B49" s="417" t="s">
        <v>55</v>
      </c>
      <c r="C49" s="417"/>
      <c r="D49" s="118" t="s">
        <v>56</v>
      </c>
      <c r="E49" s="406" t="s">
        <v>247</v>
      </c>
      <c r="F49" s="406" t="s">
        <v>235</v>
      </c>
      <c r="G49" s="141"/>
      <c r="H49" s="141"/>
      <c r="I49" s="103"/>
      <c r="J49" s="103"/>
      <c r="K49" s="103"/>
      <c r="L49" s="103"/>
      <c r="M49" s="103"/>
      <c r="N49" s="103"/>
      <c r="O49" s="103"/>
      <c r="P49" s="103"/>
      <c r="Q49" s="103"/>
      <c r="R49" s="103"/>
    </row>
    <row r="50" spans="1:18" ht="53.25" customHeight="1" x14ac:dyDescent="0.45">
      <c r="A50" s="123" t="s">
        <v>276</v>
      </c>
      <c r="B50" s="429" t="s">
        <v>198</v>
      </c>
      <c r="C50" s="429"/>
      <c r="D50" s="124" t="s">
        <v>75</v>
      </c>
      <c r="E50" s="604">
        <v>50</v>
      </c>
      <c r="F50" s="125">
        <v>50</v>
      </c>
      <c r="G50" s="142"/>
      <c r="H50" s="143"/>
    </row>
    <row r="51" spans="1:18" s="104" customFormat="1" ht="45" customHeight="1" x14ac:dyDescent="0.45">
      <c r="A51" s="117" t="s">
        <v>24</v>
      </c>
      <c r="B51" s="417" t="s">
        <v>55</v>
      </c>
      <c r="C51" s="417"/>
      <c r="D51" s="118" t="s">
        <v>56</v>
      </c>
      <c r="E51" s="406" t="s">
        <v>247</v>
      </c>
      <c r="F51" s="406" t="s">
        <v>235</v>
      </c>
      <c r="G51" s="141"/>
      <c r="H51" s="141"/>
      <c r="I51" s="103"/>
      <c r="J51" s="103"/>
      <c r="K51" s="103"/>
      <c r="L51" s="103"/>
      <c r="M51" s="103"/>
      <c r="N51" s="103"/>
      <c r="O51" s="103"/>
      <c r="P51" s="103"/>
      <c r="Q51" s="103"/>
      <c r="R51" s="103"/>
    </row>
    <row r="52" spans="1:18" ht="34.5" customHeight="1" x14ac:dyDescent="0.45">
      <c r="A52" s="418" t="s">
        <v>277</v>
      </c>
      <c r="B52" s="121" t="s">
        <v>199</v>
      </c>
      <c r="C52" s="420" t="s">
        <v>80</v>
      </c>
      <c r="D52" s="420" t="s">
        <v>75</v>
      </c>
      <c r="E52" s="605">
        <v>0.6</v>
      </c>
      <c r="F52" s="421">
        <v>0.6</v>
      </c>
      <c r="G52" s="447"/>
      <c r="H52" s="447"/>
    </row>
    <row r="53" spans="1:18" ht="34.5" customHeight="1" x14ac:dyDescent="0.45">
      <c r="A53" s="418"/>
      <c r="B53" s="122" t="s">
        <v>167</v>
      </c>
      <c r="C53" s="420"/>
      <c r="D53" s="420"/>
      <c r="E53" s="605"/>
      <c r="F53" s="421"/>
      <c r="G53" s="447"/>
      <c r="H53" s="447"/>
    </row>
    <row r="54" spans="1:18" ht="34.5" customHeight="1" x14ac:dyDescent="0.45">
      <c r="A54" s="418" t="s">
        <v>278</v>
      </c>
      <c r="B54" s="121" t="s">
        <v>198</v>
      </c>
      <c r="C54" s="420" t="s">
        <v>80</v>
      </c>
      <c r="D54" s="420" t="s">
        <v>75</v>
      </c>
      <c r="E54" s="605">
        <v>0.2</v>
      </c>
      <c r="F54" s="421">
        <v>0.2</v>
      </c>
      <c r="G54" s="447"/>
      <c r="H54" s="447"/>
    </row>
    <row r="55" spans="1:18" ht="34.5" customHeight="1" x14ac:dyDescent="0.45">
      <c r="A55" s="418"/>
      <c r="B55" s="122" t="s">
        <v>167</v>
      </c>
      <c r="C55" s="420"/>
      <c r="D55" s="420"/>
      <c r="E55" s="605"/>
      <c r="F55" s="421"/>
      <c r="G55" s="447"/>
      <c r="H55" s="447"/>
    </row>
    <row r="56" spans="1:18" s="104" customFormat="1" ht="45" customHeight="1" x14ac:dyDescent="0.45">
      <c r="A56" s="117" t="s">
        <v>25</v>
      </c>
      <c r="B56" s="417" t="s">
        <v>55</v>
      </c>
      <c r="C56" s="417"/>
      <c r="D56" s="118" t="s">
        <v>56</v>
      </c>
      <c r="E56" s="406" t="s">
        <v>247</v>
      </c>
      <c r="F56" s="406" t="s">
        <v>235</v>
      </c>
      <c r="G56" s="141"/>
      <c r="H56" s="141"/>
      <c r="I56" s="103"/>
      <c r="J56" s="103"/>
      <c r="K56" s="103"/>
      <c r="L56" s="103"/>
      <c r="M56" s="103"/>
      <c r="N56" s="103"/>
      <c r="O56" s="103"/>
      <c r="P56" s="103"/>
      <c r="Q56" s="103"/>
      <c r="R56" s="103"/>
    </row>
    <row r="57" spans="1:18" s="104" customFormat="1" ht="34.5" customHeight="1" x14ac:dyDescent="0.45">
      <c r="A57" s="126" t="s">
        <v>279</v>
      </c>
      <c r="B57" s="420" t="s">
        <v>200</v>
      </c>
      <c r="C57" s="420"/>
      <c r="D57" s="127" t="s">
        <v>169</v>
      </c>
      <c r="E57" s="128">
        <v>80000</v>
      </c>
      <c r="F57" s="606">
        <v>80000</v>
      </c>
      <c r="G57" s="144"/>
      <c r="H57" s="144"/>
      <c r="I57" s="103"/>
      <c r="J57" s="103"/>
      <c r="K57" s="103"/>
      <c r="L57" s="103"/>
      <c r="M57" s="103"/>
      <c r="N57" s="103"/>
      <c r="O57" s="103"/>
      <c r="P57" s="103"/>
      <c r="Q57" s="103"/>
      <c r="R57" s="103"/>
    </row>
    <row r="58" spans="1:18" s="104" customFormat="1" ht="34.5" customHeight="1" x14ac:dyDescent="0.45">
      <c r="A58" s="418" t="s">
        <v>280</v>
      </c>
      <c r="B58" s="121" t="s">
        <v>201</v>
      </c>
      <c r="C58" s="420" t="s">
        <v>80</v>
      </c>
      <c r="D58" s="420" t="s">
        <v>76</v>
      </c>
      <c r="E58" s="605">
        <v>0.7</v>
      </c>
      <c r="F58" s="421">
        <v>0.7</v>
      </c>
      <c r="G58" s="447"/>
      <c r="H58" s="447"/>
      <c r="I58" s="103"/>
      <c r="J58" s="103"/>
      <c r="K58" s="103"/>
      <c r="L58" s="103"/>
      <c r="M58" s="103"/>
      <c r="N58" s="103"/>
      <c r="O58" s="103"/>
      <c r="P58" s="103"/>
      <c r="Q58" s="103"/>
      <c r="R58" s="103"/>
    </row>
    <row r="59" spans="1:18" s="104" customFormat="1" ht="34.5" customHeight="1" x14ac:dyDescent="0.45">
      <c r="A59" s="418"/>
      <c r="B59" s="122" t="s">
        <v>85</v>
      </c>
      <c r="C59" s="420"/>
      <c r="D59" s="420"/>
      <c r="E59" s="605"/>
      <c r="F59" s="421"/>
      <c r="G59" s="447"/>
      <c r="H59" s="447"/>
      <c r="I59" s="103"/>
      <c r="J59" s="103"/>
      <c r="K59" s="103"/>
      <c r="L59" s="103"/>
      <c r="M59" s="103"/>
      <c r="N59" s="103"/>
      <c r="O59" s="103"/>
      <c r="P59" s="103"/>
      <c r="Q59" s="103"/>
      <c r="R59" s="103"/>
    </row>
    <row r="60" spans="1:18" s="104" customFormat="1" ht="34.5" customHeight="1" x14ac:dyDescent="0.45">
      <c r="A60" s="418" t="s">
        <v>281</v>
      </c>
      <c r="B60" s="121" t="s">
        <v>202</v>
      </c>
      <c r="C60" s="420" t="s">
        <v>80</v>
      </c>
      <c r="D60" s="420" t="s">
        <v>76</v>
      </c>
      <c r="E60" s="605">
        <v>0.8</v>
      </c>
      <c r="F60" s="421">
        <v>0.8</v>
      </c>
      <c r="G60" s="447"/>
      <c r="H60" s="447"/>
      <c r="I60" s="103"/>
      <c r="J60" s="103"/>
      <c r="K60" s="103"/>
      <c r="L60" s="103"/>
      <c r="M60" s="103"/>
      <c r="N60" s="103"/>
      <c r="O60" s="103"/>
      <c r="P60" s="103"/>
      <c r="Q60" s="103"/>
      <c r="R60" s="103"/>
    </row>
    <row r="61" spans="1:18" s="104" customFormat="1" ht="34.5" customHeight="1" x14ac:dyDescent="0.45">
      <c r="A61" s="418"/>
      <c r="B61" s="122" t="s">
        <v>86</v>
      </c>
      <c r="C61" s="420"/>
      <c r="D61" s="420"/>
      <c r="E61" s="605"/>
      <c r="F61" s="421"/>
      <c r="G61" s="447"/>
      <c r="H61" s="447"/>
      <c r="I61" s="103"/>
      <c r="J61" s="103"/>
      <c r="K61" s="103"/>
      <c r="L61" s="103"/>
      <c r="M61" s="103"/>
      <c r="N61" s="103"/>
      <c r="O61" s="103"/>
      <c r="P61" s="103"/>
      <c r="Q61" s="103"/>
      <c r="R61" s="103"/>
    </row>
    <row r="62" spans="1:18" s="104" customFormat="1" ht="34.5" customHeight="1" x14ac:dyDescent="0.45">
      <c r="A62" s="126" t="s">
        <v>203</v>
      </c>
      <c r="B62" s="420" t="s">
        <v>204</v>
      </c>
      <c r="C62" s="420"/>
      <c r="D62" s="127" t="s">
        <v>82</v>
      </c>
      <c r="E62" s="606">
        <v>60000</v>
      </c>
      <c r="F62" s="606">
        <v>60000</v>
      </c>
      <c r="G62" s="144"/>
      <c r="H62" s="144"/>
      <c r="I62" s="103"/>
      <c r="J62" s="103"/>
      <c r="K62" s="103"/>
      <c r="L62" s="103"/>
      <c r="M62" s="103"/>
      <c r="N62" s="103"/>
      <c r="O62" s="103"/>
      <c r="P62" s="103"/>
      <c r="Q62" s="103"/>
      <c r="R62" s="103"/>
    </row>
    <row r="63" spans="1:18" s="104" customFormat="1" ht="45" customHeight="1" x14ac:dyDescent="0.45">
      <c r="A63" s="117" t="s">
        <v>26</v>
      </c>
      <c r="B63" s="417" t="s">
        <v>55</v>
      </c>
      <c r="C63" s="417"/>
      <c r="D63" s="118" t="s">
        <v>56</v>
      </c>
      <c r="E63" s="406" t="s">
        <v>247</v>
      </c>
      <c r="F63" s="406" t="s">
        <v>235</v>
      </c>
      <c r="G63" s="141"/>
      <c r="H63" s="141"/>
      <c r="I63" s="103"/>
      <c r="J63" s="103"/>
      <c r="K63" s="103"/>
      <c r="L63" s="103"/>
      <c r="M63" s="103"/>
      <c r="N63" s="103"/>
      <c r="O63" s="103"/>
      <c r="P63" s="103"/>
      <c r="Q63" s="103"/>
      <c r="R63" s="103"/>
    </row>
    <row r="64" spans="1:18" s="104" customFormat="1" ht="34.5" customHeight="1" x14ac:dyDescent="0.45">
      <c r="A64" s="428" t="s">
        <v>282</v>
      </c>
      <c r="B64" s="129" t="s">
        <v>205</v>
      </c>
      <c r="C64" s="420" t="s">
        <v>80</v>
      </c>
      <c r="D64" s="420" t="s">
        <v>75</v>
      </c>
      <c r="E64" s="605">
        <v>0.8</v>
      </c>
      <c r="F64" s="421">
        <v>0.8</v>
      </c>
      <c r="G64" s="447"/>
      <c r="H64" s="447"/>
      <c r="I64" s="103"/>
      <c r="J64" s="103"/>
      <c r="K64" s="103"/>
      <c r="L64" s="103"/>
      <c r="M64" s="103"/>
      <c r="N64" s="103"/>
      <c r="O64" s="103"/>
      <c r="P64" s="103"/>
      <c r="Q64" s="103"/>
      <c r="R64" s="103"/>
    </row>
    <row r="65" spans="1:18" s="104" customFormat="1" ht="34.5" customHeight="1" x14ac:dyDescent="0.45">
      <c r="A65" s="428"/>
      <c r="B65" s="130" t="s">
        <v>206</v>
      </c>
      <c r="C65" s="420"/>
      <c r="D65" s="420"/>
      <c r="E65" s="605"/>
      <c r="F65" s="421"/>
      <c r="G65" s="447"/>
      <c r="H65" s="447"/>
      <c r="I65" s="103"/>
      <c r="J65" s="103"/>
      <c r="K65" s="103"/>
      <c r="L65" s="103"/>
      <c r="M65" s="103"/>
      <c r="N65" s="103"/>
      <c r="O65" s="103"/>
      <c r="P65" s="103"/>
      <c r="Q65" s="103"/>
      <c r="R65" s="103"/>
    </row>
    <row r="66" spans="1:18" s="104" customFormat="1" ht="34.5" customHeight="1" x14ac:dyDescent="0.45">
      <c r="A66" s="427" t="s">
        <v>283</v>
      </c>
      <c r="B66" s="131" t="s">
        <v>153</v>
      </c>
      <c r="C66" s="420" t="s">
        <v>80</v>
      </c>
      <c r="D66" s="420" t="s">
        <v>75</v>
      </c>
      <c r="E66" s="605">
        <v>0.25</v>
      </c>
      <c r="F66" s="421">
        <v>0.25</v>
      </c>
      <c r="G66" s="447"/>
      <c r="H66" s="447"/>
      <c r="I66" s="103"/>
      <c r="J66" s="103"/>
      <c r="K66" s="103"/>
      <c r="L66" s="103"/>
      <c r="M66" s="103"/>
      <c r="N66" s="103"/>
      <c r="O66" s="103"/>
      <c r="P66" s="103"/>
      <c r="Q66" s="103"/>
      <c r="R66" s="103"/>
    </row>
    <row r="67" spans="1:18" s="104" customFormat="1" ht="34.5" customHeight="1" x14ac:dyDescent="0.45">
      <c r="A67" s="427"/>
      <c r="B67" s="132" t="s">
        <v>207</v>
      </c>
      <c r="C67" s="420"/>
      <c r="D67" s="420"/>
      <c r="E67" s="605"/>
      <c r="F67" s="421"/>
      <c r="G67" s="447"/>
      <c r="H67" s="447"/>
      <c r="I67" s="103"/>
      <c r="J67" s="103"/>
      <c r="K67" s="103"/>
      <c r="L67" s="103"/>
      <c r="M67" s="103"/>
      <c r="N67" s="103"/>
      <c r="O67" s="103"/>
      <c r="P67" s="103"/>
      <c r="Q67" s="103"/>
      <c r="R67" s="103"/>
    </row>
    <row r="68" spans="1:18" s="104" customFormat="1" ht="34.5" customHeight="1" x14ac:dyDescent="0.45">
      <c r="A68" s="418" t="s">
        <v>284</v>
      </c>
      <c r="B68" s="422" t="s">
        <v>208</v>
      </c>
      <c r="C68" s="422"/>
      <c r="D68" s="420" t="s">
        <v>82</v>
      </c>
      <c r="E68" s="423">
        <v>90</v>
      </c>
      <c r="F68" s="423">
        <v>90</v>
      </c>
      <c r="G68" s="448"/>
      <c r="H68" s="448"/>
      <c r="I68" s="103"/>
      <c r="J68" s="103"/>
      <c r="K68" s="103"/>
      <c r="L68" s="103"/>
      <c r="M68" s="103"/>
      <c r="N68" s="103"/>
      <c r="O68" s="103"/>
      <c r="P68" s="103"/>
      <c r="Q68" s="103"/>
      <c r="R68" s="103"/>
    </row>
    <row r="69" spans="1:18" s="104" customFormat="1" ht="34.5" customHeight="1" x14ac:dyDescent="0.45">
      <c r="A69" s="418"/>
      <c r="B69" s="424" t="s">
        <v>209</v>
      </c>
      <c r="C69" s="424"/>
      <c r="D69" s="420"/>
      <c r="E69" s="423"/>
      <c r="F69" s="423"/>
      <c r="G69" s="448"/>
      <c r="H69" s="448"/>
      <c r="I69" s="103"/>
      <c r="J69" s="103"/>
      <c r="K69" s="103"/>
      <c r="L69" s="103"/>
      <c r="M69" s="103"/>
      <c r="N69" s="103"/>
      <c r="O69" s="103"/>
      <c r="P69" s="103"/>
      <c r="Q69" s="103"/>
      <c r="R69" s="103"/>
    </row>
    <row r="70" spans="1:18" s="104" customFormat="1" ht="45" customHeight="1" x14ac:dyDescent="0.45">
      <c r="A70" s="117" t="s">
        <v>27</v>
      </c>
      <c r="B70" s="417" t="s">
        <v>55</v>
      </c>
      <c r="C70" s="417"/>
      <c r="D70" s="118" t="s">
        <v>56</v>
      </c>
      <c r="E70" s="406" t="s">
        <v>247</v>
      </c>
      <c r="F70" s="406" t="s">
        <v>235</v>
      </c>
      <c r="G70" s="141"/>
      <c r="H70" s="141"/>
      <c r="I70" s="103"/>
      <c r="J70" s="103"/>
      <c r="K70" s="103"/>
      <c r="L70" s="103"/>
      <c r="M70" s="103"/>
      <c r="N70" s="103"/>
      <c r="O70" s="103"/>
      <c r="P70" s="103"/>
      <c r="Q70" s="103"/>
      <c r="R70" s="103"/>
    </row>
    <row r="71" spans="1:18" s="104" customFormat="1" ht="34.5" customHeight="1" x14ac:dyDescent="0.45">
      <c r="A71" s="418" t="s">
        <v>285</v>
      </c>
      <c r="B71" s="422" t="s">
        <v>256</v>
      </c>
      <c r="C71" s="422"/>
      <c r="D71" s="420" t="s">
        <v>76</v>
      </c>
      <c r="E71" s="607">
        <v>8.1999999999999993</v>
      </c>
      <c r="F71" s="423">
        <v>8.24</v>
      </c>
      <c r="G71" s="448"/>
      <c r="H71" s="448">
        <f>'Diretrizes - Resumo'!AK24/('Diretrizes - Resumo'!AK27/1000)</f>
        <v>8.2353751712578163</v>
      </c>
      <c r="I71" s="103"/>
      <c r="J71" s="103"/>
      <c r="K71" s="103"/>
      <c r="L71" s="103"/>
      <c r="M71" s="103"/>
      <c r="N71" s="103"/>
      <c r="O71" s="103"/>
      <c r="P71" s="103"/>
      <c r="Q71" s="103"/>
      <c r="R71" s="103"/>
    </row>
    <row r="72" spans="1:18" s="104" customFormat="1" ht="34.5" customHeight="1" x14ac:dyDescent="0.45">
      <c r="A72" s="418"/>
      <c r="B72" s="424" t="s">
        <v>211</v>
      </c>
      <c r="C72" s="424"/>
      <c r="D72" s="420"/>
      <c r="E72" s="607"/>
      <c r="F72" s="423"/>
      <c r="G72" s="448"/>
      <c r="H72" s="448"/>
      <c r="I72" s="103"/>
      <c r="J72" s="103"/>
      <c r="K72" s="103"/>
      <c r="L72" s="103"/>
      <c r="M72" s="103"/>
      <c r="N72" s="103"/>
      <c r="O72" s="103"/>
      <c r="P72" s="103"/>
      <c r="Q72" s="103"/>
      <c r="R72" s="103"/>
    </row>
    <row r="73" spans="1:18" s="104" customFormat="1" ht="34.5" customHeight="1" x14ac:dyDescent="0.45">
      <c r="A73" s="418" t="s">
        <v>286</v>
      </c>
      <c r="B73" s="121" t="s">
        <v>148</v>
      </c>
      <c r="C73" s="420" t="s">
        <v>80</v>
      </c>
      <c r="D73" s="420" t="s">
        <v>76</v>
      </c>
      <c r="E73" s="601">
        <v>0.3</v>
      </c>
      <c r="F73" s="421">
        <v>0.3</v>
      </c>
      <c r="G73" s="447"/>
      <c r="H73" s="447"/>
      <c r="I73" s="103"/>
      <c r="J73" s="103"/>
      <c r="K73" s="103"/>
      <c r="L73" s="103"/>
      <c r="M73" s="103"/>
      <c r="N73" s="103"/>
      <c r="O73" s="103"/>
      <c r="P73" s="103"/>
      <c r="Q73" s="103"/>
      <c r="R73" s="103"/>
    </row>
    <row r="74" spans="1:18" ht="34.5" customHeight="1" x14ac:dyDescent="0.45">
      <c r="A74" s="418"/>
      <c r="B74" s="122" t="s">
        <v>210</v>
      </c>
      <c r="C74" s="420"/>
      <c r="D74" s="420"/>
      <c r="E74" s="601"/>
      <c r="F74" s="421"/>
      <c r="G74" s="447"/>
      <c r="H74" s="447"/>
    </row>
    <row r="75" spans="1:18" s="104" customFormat="1" ht="34.5" customHeight="1" x14ac:dyDescent="0.45">
      <c r="A75" s="418" t="s">
        <v>287</v>
      </c>
      <c r="B75" s="121" t="s">
        <v>212</v>
      </c>
      <c r="C75" s="420" t="s">
        <v>80</v>
      </c>
      <c r="D75" s="420" t="s">
        <v>76</v>
      </c>
      <c r="E75" s="601">
        <v>0.3</v>
      </c>
      <c r="F75" s="421">
        <v>0.3</v>
      </c>
      <c r="G75" s="447"/>
      <c r="H75" s="447"/>
    </row>
    <row r="76" spans="1:18" s="104" customFormat="1" ht="34.5" customHeight="1" x14ac:dyDescent="0.45">
      <c r="A76" s="418"/>
      <c r="B76" s="122" t="s">
        <v>210</v>
      </c>
      <c r="C76" s="420"/>
      <c r="D76" s="420"/>
      <c r="E76" s="601"/>
      <c r="F76" s="421"/>
      <c r="G76" s="447"/>
      <c r="H76" s="447"/>
    </row>
    <row r="77" spans="1:18" s="104" customFormat="1" ht="45" customHeight="1" x14ac:dyDescent="0.45">
      <c r="A77" s="117" t="s">
        <v>28</v>
      </c>
      <c r="B77" s="417" t="s">
        <v>55</v>
      </c>
      <c r="C77" s="417"/>
      <c r="D77" s="118" t="s">
        <v>56</v>
      </c>
      <c r="E77" s="406" t="s">
        <v>247</v>
      </c>
      <c r="F77" s="406" t="s">
        <v>235</v>
      </c>
      <c r="G77" s="141"/>
      <c r="H77" s="141"/>
      <c r="I77" s="103"/>
      <c r="J77" s="103"/>
      <c r="K77" s="103"/>
      <c r="L77" s="103"/>
      <c r="M77" s="103"/>
      <c r="N77" s="103"/>
      <c r="O77" s="103"/>
      <c r="P77" s="103"/>
      <c r="Q77" s="103"/>
      <c r="R77" s="103"/>
    </row>
    <row r="78" spans="1:18" ht="34.5" customHeight="1" x14ac:dyDescent="0.45">
      <c r="A78" s="418" t="s">
        <v>288</v>
      </c>
      <c r="B78" s="422" t="s">
        <v>213</v>
      </c>
      <c r="C78" s="422"/>
      <c r="D78" s="420" t="s">
        <v>214</v>
      </c>
      <c r="E78" s="608">
        <v>817.5</v>
      </c>
      <c r="F78" s="602">
        <v>942.05</v>
      </c>
      <c r="G78" s="449"/>
      <c r="H78" s="449">
        <f>'Anexo 1. Fontes e Aplicações'!D8/'Diretrizes - Resumo'!AK19</f>
        <v>945.71926882889352</v>
      </c>
    </row>
    <row r="79" spans="1:18" ht="34.5" customHeight="1" x14ac:dyDescent="0.45">
      <c r="A79" s="418"/>
      <c r="B79" s="424" t="s">
        <v>88</v>
      </c>
      <c r="C79" s="424"/>
      <c r="D79" s="420"/>
      <c r="E79" s="609"/>
      <c r="F79" s="610"/>
      <c r="G79" s="449"/>
      <c r="H79" s="449"/>
    </row>
    <row r="80" spans="1:18" ht="34.5" customHeight="1" x14ac:dyDescent="0.45">
      <c r="A80" s="418" t="s">
        <v>289</v>
      </c>
      <c r="B80" s="121" t="s">
        <v>215</v>
      </c>
      <c r="C80" s="420" t="s">
        <v>80</v>
      </c>
      <c r="D80" s="420" t="s">
        <v>216</v>
      </c>
      <c r="E80" s="611">
        <v>0.69</v>
      </c>
      <c r="F80" s="426">
        <v>0.67900000000000005</v>
      </c>
      <c r="G80" s="447"/>
      <c r="H80" s="447">
        <f>'Anexo 2. Limites Estratégicos'!M5/'Anexo 2. Limites Estratégicos'!M7</f>
        <v>0.67669091631541101</v>
      </c>
    </row>
    <row r="81" spans="1:18" ht="34.5" customHeight="1" x14ac:dyDescent="0.45">
      <c r="A81" s="418"/>
      <c r="B81" s="122" t="s">
        <v>213</v>
      </c>
      <c r="C81" s="420"/>
      <c r="D81" s="420"/>
      <c r="E81" s="612"/>
      <c r="F81" s="426"/>
      <c r="G81" s="447"/>
      <c r="H81" s="447"/>
    </row>
    <row r="82" spans="1:18" ht="34.5" customHeight="1" x14ac:dyDescent="0.45">
      <c r="A82" s="418" t="s">
        <v>290</v>
      </c>
      <c r="B82" s="422" t="s">
        <v>151</v>
      </c>
      <c r="C82" s="422"/>
      <c r="D82" s="420" t="s">
        <v>82</v>
      </c>
      <c r="E82" s="613">
        <v>20</v>
      </c>
      <c r="F82" s="614">
        <v>20</v>
      </c>
      <c r="G82" s="448"/>
      <c r="H82" s="448"/>
    </row>
    <row r="83" spans="1:18" ht="34.5" customHeight="1" x14ac:dyDescent="0.45">
      <c r="A83" s="418"/>
      <c r="B83" s="424" t="s">
        <v>87</v>
      </c>
      <c r="C83" s="424"/>
      <c r="D83" s="420"/>
      <c r="E83" s="615"/>
      <c r="F83" s="616"/>
      <c r="G83" s="448"/>
      <c r="H83" s="448"/>
    </row>
    <row r="84" spans="1:18" ht="34.5" customHeight="1" x14ac:dyDescent="0.45">
      <c r="A84" s="418" t="s">
        <v>291</v>
      </c>
      <c r="B84" s="121" t="s">
        <v>152</v>
      </c>
      <c r="C84" s="420" t="s">
        <v>80</v>
      </c>
      <c r="D84" s="420" t="s">
        <v>81</v>
      </c>
      <c r="E84" s="617">
        <v>24.5</v>
      </c>
      <c r="F84" s="425">
        <v>0.24399999999999999</v>
      </c>
      <c r="G84" s="447"/>
      <c r="H84" s="447">
        <f>'Diretrizes - Resumo'!AK21/100</f>
        <v>0.24400497365148907</v>
      </c>
    </row>
    <row r="85" spans="1:18" s="104" customFormat="1" ht="34.5" customHeight="1" x14ac:dyDescent="0.45">
      <c r="A85" s="418"/>
      <c r="B85" s="122" t="s">
        <v>257</v>
      </c>
      <c r="C85" s="420"/>
      <c r="D85" s="420"/>
      <c r="E85" s="617"/>
      <c r="F85" s="425"/>
      <c r="G85" s="447"/>
      <c r="H85" s="447"/>
      <c r="I85" s="103"/>
      <c r="J85" s="103"/>
      <c r="K85" s="103"/>
      <c r="L85" s="103"/>
      <c r="M85" s="103"/>
      <c r="N85" s="103"/>
      <c r="O85" s="103"/>
      <c r="P85" s="103"/>
      <c r="Q85" s="103"/>
      <c r="R85" s="103"/>
    </row>
    <row r="86" spans="1:18" s="104" customFormat="1" ht="34.5" customHeight="1" x14ac:dyDescent="0.45">
      <c r="A86" s="418" t="s">
        <v>292</v>
      </c>
      <c r="B86" s="121" t="s">
        <v>89</v>
      </c>
      <c r="C86" s="420" t="s">
        <v>80</v>
      </c>
      <c r="D86" s="420" t="s">
        <v>81</v>
      </c>
      <c r="E86" s="605">
        <v>0.45</v>
      </c>
      <c r="F86" s="425">
        <v>0.45</v>
      </c>
      <c r="G86" s="447"/>
      <c r="H86" s="447">
        <f>'Diretrizes - Resumo'!AK23/100</f>
        <v>0.44994875298940895</v>
      </c>
      <c r="I86" s="103"/>
      <c r="J86" s="103"/>
      <c r="K86" s="103"/>
      <c r="L86" s="103"/>
      <c r="M86" s="103"/>
      <c r="N86" s="103"/>
      <c r="O86" s="103"/>
      <c r="P86" s="103"/>
      <c r="Q86" s="103"/>
      <c r="R86" s="103"/>
    </row>
    <row r="87" spans="1:18" s="104" customFormat="1" ht="34.5" customHeight="1" x14ac:dyDescent="0.45">
      <c r="A87" s="418"/>
      <c r="B87" s="122" t="s">
        <v>217</v>
      </c>
      <c r="C87" s="420"/>
      <c r="D87" s="420"/>
      <c r="E87" s="605"/>
      <c r="F87" s="425"/>
      <c r="G87" s="447"/>
      <c r="H87" s="447"/>
      <c r="I87" s="103"/>
      <c r="J87" s="103"/>
      <c r="K87" s="103"/>
      <c r="L87" s="103"/>
      <c r="M87" s="103"/>
      <c r="N87" s="103"/>
      <c r="O87" s="103"/>
      <c r="P87" s="103"/>
      <c r="Q87" s="103"/>
      <c r="R87" s="103"/>
    </row>
    <row r="88" spans="1:18" s="104" customFormat="1" ht="45" customHeight="1" x14ac:dyDescent="0.45">
      <c r="A88" s="117" t="s">
        <v>29</v>
      </c>
      <c r="B88" s="417" t="s">
        <v>55</v>
      </c>
      <c r="C88" s="417"/>
      <c r="D88" s="118" t="s">
        <v>56</v>
      </c>
      <c r="E88" s="406" t="s">
        <v>247</v>
      </c>
      <c r="F88" s="406" t="s">
        <v>235</v>
      </c>
      <c r="G88" s="141"/>
      <c r="H88" s="141"/>
      <c r="I88" s="103"/>
      <c r="J88" s="103"/>
      <c r="K88" s="103"/>
      <c r="L88" s="103"/>
      <c r="M88" s="103"/>
      <c r="N88" s="103"/>
      <c r="O88" s="103"/>
      <c r="P88" s="103"/>
      <c r="Q88" s="103"/>
      <c r="R88" s="103"/>
    </row>
    <row r="89" spans="1:18" s="104" customFormat="1" ht="34.5" customHeight="1" x14ac:dyDescent="0.45">
      <c r="A89" s="418" t="s">
        <v>293</v>
      </c>
      <c r="B89" s="121" t="s">
        <v>218</v>
      </c>
      <c r="C89" s="420" t="s">
        <v>80</v>
      </c>
      <c r="D89" s="420" t="s">
        <v>216</v>
      </c>
      <c r="E89" s="605">
        <v>0.7</v>
      </c>
      <c r="F89" s="421">
        <v>0.7</v>
      </c>
      <c r="G89" s="447"/>
      <c r="H89" s="447"/>
      <c r="I89" s="103"/>
      <c r="J89" s="103"/>
      <c r="K89" s="103"/>
      <c r="L89" s="103"/>
      <c r="M89" s="103"/>
      <c r="N89" s="103"/>
      <c r="O89" s="103"/>
      <c r="P89" s="103"/>
      <c r="Q89" s="103"/>
      <c r="R89" s="103"/>
    </row>
    <row r="90" spans="1:18" s="104" customFormat="1" ht="34.5" customHeight="1" x14ac:dyDescent="0.45">
      <c r="A90" s="418"/>
      <c r="B90" s="122" t="s">
        <v>219</v>
      </c>
      <c r="C90" s="420"/>
      <c r="D90" s="420"/>
      <c r="E90" s="605"/>
      <c r="F90" s="421"/>
      <c r="G90" s="447"/>
      <c r="H90" s="447"/>
      <c r="I90" s="103"/>
      <c r="J90" s="103"/>
      <c r="K90" s="103"/>
      <c r="L90" s="103"/>
      <c r="M90" s="103"/>
      <c r="N90" s="103"/>
      <c r="O90" s="103"/>
      <c r="P90" s="103"/>
      <c r="Q90" s="103"/>
      <c r="R90" s="103"/>
    </row>
    <row r="91" spans="1:18" s="104" customFormat="1" ht="34.5" customHeight="1" x14ac:dyDescent="0.45">
      <c r="A91" s="418" t="s">
        <v>294</v>
      </c>
      <c r="B91" s="121" t="s">
        <v>220</v>
      </c>
      <c r="C91" s="420" t="s">
        <v>80</v>
      </c>
      <c r="D91" s="420" t="s">
        <v>216</v>
      </c>
      <c r="E91" s="605">
        <v>0.6</v>
      </c>
      <c r="F91" s="421">
        <v>0.6</v>
      </c>
      <c r="G91" s="447"/>
      <c r="H91" s="447"/>
      <c r="I91" s="103"/>
      <c r="J91" s="103"/>
      <c r="K91" s="103"/>
      <c r="L91" s="103"/>
      <c r="M91" s="103"/>
      <c r="N91" s="103"/>
      <c r="O91" s="103"/>
      <c r="P91" s="103"/>
      <c r="Q91" s="103"/>
      <c r="R91" s="103"/>
    </row>
    <row r="92" spans="1:18" s="104" customFormat="1" ht="34.5" customHeight="1" x14ac:dyDescent="0.45">
      <c r="A92" s="418"/>
      <c r="B92" s="122" t="s">
        <v>221</v>
      </c>
      <c r="C92" s="420"/>
      <c r="D92" s="420"/>
      <c r="E92" s="605"/>
      <c r="F92" s="421"/>
      <c r="G92" s="447"/>
      <c r="H92" s="447"/>
      <c r="I92" s="103"/>
      <c r="J92" s="103"/>
      <c r="K92" s="103"/>
      <c r="L92" s="103"/>
      <c r="M92" s="103"/>
      <c r="N92" s="103"/>
      <c r="O92" s="103"/>
      <c r="P92" s="103"/>
      <c r="Q92" s="103"/>
      <c r="R92" s="103"/>
    </row>
    <row r="93" spans="1:18" s="104" customFormat="1" ht="34.5" customHeight="1" x14ac:dyDescent="0.45">
      <c r="A93" s="418" t="s">
        <v>295</v>
      </c>
      <c r="B93" s="121" t="s">
        <v>222</v>
      </c>
      <c r="C93" s="420" t="s">
        <v>80</v>
      </c>
      <c r="D93" s="420" t="s">
        <v>216</v>
      </c>
      <c r="E93" s="605">
        <v>0.5</v>
      </c>
      <c r="F93" s="421">
        <v>0.5</v>
      </c>
      <c r="G93" s="447"/>
      <c r="H93" s="447"/>
      <c r="I93" s="103"/>
      <c r="J93" s="103"/>
      <c r="K93" s="103"/>
      <c r="L93" s="103"/>
      <c r="M93" s="103"/>
      <c r="N93" s="103"/>
      <c r="O93" s="103"/>
      <c r="P93" s="103"/>
      <c r="Q93" s="103"/>
      <c r="R93" s="103"/>
    </row>
    <row r="94" spans="1:18" s="104" customFormat="1" ht="34.5" customHeight="1" x14ac:dyDescent="0.45">
      <c r="A94" s="418"/>
      <c r="B94" s="122" t="s">
        <v>221</v>
      </c>
      <c r="C94" s="420"/>
      <c r="D94" s="420"/>
      <c r="E94" s="605"/>
      <c r="F94" s="421"/>
      <c r="G94" s="447"/>
      <c r="H94" s="447"/>
      <c r="I94" s="103"/>
      <c r="J94" s="103"/>
      <c r="K94" s="103"/>
      <c r="L94" s="103"/>
      <c r="M94" s="103"/>
      <c r="N94" s="103"/>
      <c r="O94" s="103"/>
      <c r="P94" s="103"/>
      <c r="Q94" s="103"/>
      <c r="R94" s="103"/>
    </row>
    <row r="95" spans="1:18" s="104" customFormat="1" ht="45" customHeight="1" x14ac:dyDescent="0.45">
      <c r="A95" s="117" t="s">
        <v>30</v>
      </c>
      <c r="B95" s="417" t="s">
        <v>55</v>
      </c>
      <c r="C95" s="417"/>
      <c r="D95" s="118" t="s">
        <v>56</v>
      </c>
      <c r="E95" s="406" t="s">
        <v>247</v>
      </c>
      <c r="F95" s="406" t="s">
        <v>235</v>
      </c>
      <c r="G95" s="141"/>
      <c r="H95" s="141"/>
      <c r="I95" s="103"/>
      <c r="J95" s="103"/>
      <c r="K95" s="103"/>
      <c r="L95" s="103"/>
      <c r="M95" s="103"/>
      <c r="N95" s="103"/>
      <c r="O95" s="103"/>
      <c r="P95" s="103"/>
      <c r="Q95" s="103"/>
      <c r="R95" s="103"/>
    </row>
    <row r="96" spans="1:18" s="104" customFormat="1" ht="34.5" customHeight="1" x14ac:dyDescent="0.45">
      <c r="A96" s="418" t="s">
        <v>296</v>
      </c>
      <c r="B96" s="422" t="s">
        <v>90</v>
      </c>
      <c r="C96" s="422"/>
      <c r="D96" s="420" t="s">
        <v>75</v>
      </c>
      <c r="E96" s="412">
        <v>5</v>
      </c>
      <c r="F96" s="423">
        <v>5</v>
      </c>
      <c r="G96" s="448"/>
      <c r="H96" s="448"/>
      <c r="I96" s="103"/>
      <c r="J96" s="103"/>
      <c r="K96" s="103"/>
      <c r="L96" s="103"/>
      <c r="M96" s="103"/>
      <c r="N96" s="103"/>
      <c r="O96" s="103"/>
      <c r="P96" s="103"/>
      <c r="Q96" s="103"/>
      <c r="R96" s="103"/>
    </row>
    <row r="97" spans="1:18" s="104" customFormat="1" ht="34.5" customHeight="1" x14ac:dyDescent="0.45">
      <c r="A97" s="418"/>
      <c r="B97" s="424" t="s">
        <v>91</v>
      </c>
      <c r="C97" s="424"/>
      <c r="D97" s="420"/>
      <c r="E97" s="412"/>
      <c r="F97" s="423"/>
      <c r="G97" s="448"/>
      <c r="H97" s="448"/>
      <c r="I97" s="103"/>
      <c r="J97" s="103"/>
      <c r="K97" s="103"/>
      <c r="L97" s="103"/>
      <c r="M97" s="103"/>
      <c r="N97" s="103"/>
      <c r="O97" s="103"/>
      <c r="P97" s="103"/>
      <c r="Q97" s="103"/>
      <c r="R97" s="103"/>
    </row>
    <row r="98" spans="1:18" s="104" customFormat="1" ht="45" customHeight="1" x14ac:dyDescent="0.45">
      <c r="A98" s="117" t="s">
        <v>31</v>
      </c>
      <c r="B98" s="417" t="s">
        <v>55</v>
      </c>
      <c r="C98" s="417"/>
      <c r="D98" s="118" t="s">
        <v>56</v>
      </c>
      <c r="E98" s="406" t="s">
        <v>247</v>
      </c>
      <c r="F98" s="406" t="s">
        <v>235</v>
      </c>
      <c r="G98" s="141"/>
      <c r="H98" s="141"/>
      <c r="I98" s="103"/>
      <c r="J98" s="103"/>
      <c r="K98" s="103"/>
      <c r="L98" s="103"/>
      <c r="M98" s="103"/>
      <c r="N98" s="103"/>
      <c r="O98" s="103"/>
      <c r="P98" s="103"/>
      <c r="Q98" s="103"/>
      <c r="R98" s="103"/>
    </row>
    <row r="99" spans="1:18" s="104" customFormat="1" ht="34.5" customHeight="1" x14ac:dyDescent="0.45">
      <c r="A99" s="126" t="s">
        <v>223</v>
      </c>
      <c r="B99" s="420" t="s">
        <v>224</v>
      </c>
      <c r="C99" s="420"/>
      <c r="D99" s="127" t="s">
        <v>75</v>
      </c>
      <c r="E99" s="618">
        <v>8</v>
      </c>
      <c r="F99" s="618">
        <v>8</v>
      </c>
      <c r="G99" s="145"/>
      <c r="H99" s="145"/>
      <c r="I99" s="103"/>
      <c r="J99" s="103"/>
      <c r="K99" s="103"/>
      <c r="L99" s="103"/>
      <c r="M99" s="103"/>
      <c r="N99" s="103"/>
      <c r="O99" s="103"/>
      <c r="P99" s="103"/>
      <c r="Q99" s="103"/>
      <c r="R99" s="103"/>
    </row>
    <row r="100" spans="1:18" s="104" customFormat="1" ht="34.5" customHeight="1" x14ac:dyDescent="0.45">
      <c r="A100" s="418" t="s">
        <v>225</v>
      </c>
      <c r="B100" s="121" t="s">
        <v>297</v>
      </c>
      <c r="C100" s="419" t="s">
        <v>80</v>
      </c>
      <c r="D100" s="420" t="s">
        <v>82</v>
      </c>
      <c r="E100" s="605">
        <v>0.8</v>
      </c>
      <c r="F100" s="619">
        <v>0.8</v>
      </c>
      <c r="G100" s="447"/>
      <c r="H100" s="447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</row>
    <row r="101" spans="1:18" s="104" customFormat="1" ht="34.5" customHeight="1" x14ac:dyDescent="0.45">
      <c r="A101" s="418"/>
      <c r="B101" s="122" t="s">
        <v>298</v>
      </c>
      <c r="C101" s="419"/>
      <c r="D101" s="420"/>
      <c r="E101" s="605"/>
      <c r="F101" s="620"/>
      <c r="G101" s="447"/>
      <c r="H101" s="447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</row>
    <row r="102" spans="1:18" s="104" customFormat="1" ht="45" customHeight="1" x14ac:dyDescent="0.45">
      <c r="A102" s="117" t="s">
        <v>32</v>
      </c>
      <c r="B102" s="417" t="s">
        <v>55</v>
      </c>
      <c r="C102" s="417"/>
      <c r="D102" s="118" t="s">
        <v>56</v>
      </c>
      <c r="E102" s="406" t="s">
        <v>247</v>
      </c>
      <c r="F102" s="406" t="s">
        <v>235</v>
      </c>
      <c r="G102" s="141"/>
      <c r="H102" s="141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</row>
    <row r="103" spans="1:18" s="104" customFormat="1" ht="34.5" customHeight="1" x14ac:dyDescent="0.45">
      <c r="A103" s="418" t="s">
        <v>299</v>
      </c>
      <c r="B103" s="121" t="s">
        <v>149</v>
      </c>
      <c r="C103" s="419" t="s">
        <v>80</v>
      </c>
      <c r="D103" s="420" t="s">
        <v>82</v>
      </c>
      <c r="E103" s="605">
        <v>0.9</v>
      </c>
      <c r="F103" s="421">
        <v>0.9</v>
      </c>
      <c r="G103" s="447"/>
      <c r="H103" s="447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</row>
    <row r="104" spans="1:18" ht="34.5" customHeight="1" x14ac:dyDescent="0.45">
      <c r="A104" s="418"/>
      <c r="B104" s="133" t="s">
        <v>92</v>
      </c>
      <c r="C104" s="419"/>
      <c r="D104" s="420"/>
      <c r="E104" s="605"/>
      <c r="F104" s="421"/>
      <c r="G104" s="447"/>
      <c r="H104" s="447"/>
    </row>
    <row r="105" spans="1:18" ht="34.5" customHeight="1" x14ac:dyDescent="0.45">
      <c r="A105" s="418" t="s">
        <v>300</v>
      </c>
      <c r="B105" s="121" t="s">
        <v>150</v>
      </c>
      <c r="C105" s="419" t="s">
        <v>80</v>
      </c>
      <c r="D105" s="420" t="s">
        <v>216</v>
      </c>
      <c r="E105" s="605">
        <v>0.9</v>
      </c>
      <c r="F105" s="421">
        <v>0.9</v>
      </c>
      <c r="G105" s="447"/>
      <c r="H105" s="447"/>
    </row>
    <row r="106" spans="1:18" ht="34.5" customHeight="1" thickBot="1" x14ac:dyDescent="0.5">
      <c r="A106" s="418"/>
      <c r="B106" s="133" t="s">
        <v>93</v>
      </c>
      <c r="C106" s="419"/>
      <c r="D106" s="420"/>
      <c r="E106" s="621"/>
      <c r="F106" s="421"/>
      <c r="G106" s="447"/>
      <c r="H106" s="447"/>
    </row>
    <row r="107" spans="1:18" ht="21.75" customHeight="1" x14ac:dyDescent="0.45"/>
    <row r="108" spans="1:18" x14ac:dyDescent="0.45">
      <c r="A108" s="445" t="s">
        <v>252</v>
      </c>
      <c r="B108" s="445"/>
      <c r="C108" s="445"/>
      <c r="D108" s="445"/>
      <c r="E108" s="445"/>
      <c r="F108" s="445"/>
    </row>
    <row r="109" spans="1:18" ht="45" customHeight="1" x14ac:dyDescent="0.45">
      <c r="A109" s="474"/>
      <c r="B109" s="600"/>
      <c r="C109" s="600"/>
      <c r="D109" s="600"/>
      <c r="E109" s="600"/>
      <c r="F109" s="600"/>
    </row>
    <row r="111" spans="1:18" hidden="1" x14ac:dyDescent="0.45">
      <c r="A111" s="138" t="s">
        <v>301</v>
      </c>
    </row>
    <row r="112" spans="1:18" hidden="1" x14ac:dyDescent="0.45">
      <c r="A112" s="139"/>
    </row>
    <row r="113" spans="1:1" hidden="1" x14ac:dyDescent="0.45">
      <c r="A113" s="139"/>
    </row>
    <row r="114" spans="1:1" hidden="1" x14ac:dyDescent="0.45">
      <c r="A114" s="139"/>
    </row>
    <row r="115" spans="1:1" hidden="1" x14ac:dyDescent="0.45">
      <c r="A115" s="139"/>
    </row>
    <row r="116" spans="1:1" hidden="1" x14ac:dyDescent="0.45">
      <c r="A116" s="139"/>
    </row>
    <row r="117" spans="1:1" hidden="1" x14ac:dyDescent="0.45">
      <c r="A117" s="139"/>
    </row>
    <row r="118" spans="1:1" hidden="1" x14ac:dyDescent="0.45">
      <c r="A118" s="139"/>
    </row>
    <row r="119" spans="1:1" hidden="1" x14ac:dyDescent="0.45">
      <c r="A119" s="139"/>
    </row>
    <row r="120" spans="1:1" hidden="1" x14ac:dyDescent="0.45">
      <c r="A120" s="139"/>
    </row>
    <row r="121" spans="1:1" hidden="1" x14ac:dyDescent="0.45">
      <c r="A121" s="139"/>
    </row>
    <row r="122" spans="1:1" hidden="1" x14ac:dyDescent="0.45">
      <c r="A122" s="139"/>
    </row>
    <row r="123" spans="1:1" hidden="1" x14ac:dyDescent="0.45">
      <c r="A123" s="139"/>
    </row>
    <row r="124" spans="1:1" hidden="1" x14ac:dyDescent="0.45">
      <c r="A124" s="139"/>
    </row>
    <row r="125" spans="1:1" hidden="1" x14ac:dyDescent="0.45">
      <c r="A125" s="139"/>
    </row>
    <row r="126" spans="1:1" hidden="1" x14ac:dyDescent="0.45">
      <c r="A126" s="139"/>
    </row>
    <row r="127" spans="1:1" hidden="1" x14ac:dyDescent="0.45">
      <c r="A127" s="139"/>
    </row>
  </sheetData>
  <protectedRanges>
    <protectedRange algorithmName="SHA-512" hashValue="oBu0U8UHWW1M9CSBiI+2smTKBuiu7zBMJPASzxaVW3/YfTocFsZXqoNbgPAUiXKweXnE/VLNBYi0YQjO9aRFIA==" saltValue="Uwn4xh4BFhDBBJp6oLNp+A==" spinCount="100000" sqref="A5:B5 G1:H2 G4:H1048576" name="Indicadores"/>
  </protectedRanges>
  <mergeCells count="313">
    <mergeCell ref="B5:F5"/>
    <mergeCell ref="G105:G106"/>
    <mergeCell ref="H105:H106"/>
    <mergeCell ref="G91:G92"/>
    <mergeCell ref="H91:H92"/>
    <mergeCell ref="G93:G94"/>
    <mergeCell ref="H93:H94"/>
    <mergeCell ref="G96:G97"/>
    <mergeCell ref="H96:H97"/>
    <mergeCell ref="G100:G101"/>
    <mergeCell ref="H100:H101"/>
    <mergeCell ref="G103:G104"/>
    <mergeCell ref="H103:H104"/>
    <mergeCell ref="G80:G81"/>
    <mergeCell ref="H80:H81"/>
    <mergeCell ref="G82:G83"/>
    <mergeCell ref="H82:H83"/>
    <mergeCell ref="G84:G85"/>
    <mergeCell ref="H84:H85"/>
    <mergeCell ref="G86:G87"/>
    <mergeCell ref="H86:H87"/>
    <mergeCell ref="G89:G90"/>
    <mergeCell ref="H89:H90"/>
    <mergeCell ref="G68:G69"/>
    <mergeCell ref="H68:H69"/>
    <mergeCell ref="G71:G72"/>
    <mergeCell ref="H71:H72"/>
    <mergeCell ref="G73:G74"/>
    <mergeCell ref="H73:H74"/>
    <mergeCell ref="G75:G76"/>
    <mergeCell ref="H75:H76"/>
    <mergeCell ref="G78:G79"/>
    <mergeCell ref="H78:H79"/>
    <mergeCell ref="G54:G55"/>
    <mergeCell ref="H54:H55"/>
    <mergeCell ref="G58:G59"/>
    <mergeCell ref="H58:H59"/>
    <mergeCell ref="G60:G61"/>
    <mergeCell ref="H60:H61"/>
    <mergeCell ref="G64:G65"/>
    <mergeCell ref="H64:H65"/>
    <mergeCell ref="G66:G67"/>
    <mergeCell ref="H66:H67"/>
    <mergeCell ref="G41:G42"/>
    <mergeCell ref="H41:H42"/>
    <mergeCell ref="G43:G44"/>
    <mergeCell ref="H43:H44"/>
    <mergeCell ref="G45:G46"/>
    <mergeCell ref="H45:H46"/>
    <mergeCell ref="G47:G48"/>
    <mergeCell ref="H47:H48"/>
    <mergeCell ref="G52:G53"/>
    <mergeCell ref="H52:H53"/>
    <mergeCell ref="H29:H30"/>
    <mergeCell ref="G31:G32"/>
    <mergeCell ref="H31:H32"/>
    <mergeCell ref="G34:G35"/>
    <mergeCell ref="H34:H35"/>
    <mergeCell ref="G36:G37"/>
    <mergeCell ref="H36:H37"/>
    <mergeCell ref="G38:G39"/>
    <mergeCell ref="H38:H39"/>
    <mergeCell ref="A108:F108"/>
    <mergeCell ref="A109:F109"/>
    <mergeCell ref="G8:G9"/>
    <mergeCell ref="H8:H9"/>
    <mergeCell ref="G13:G14"/>
    <mergeCell ref="H13:H14"/>
    <mergeCell ref="G15:G16"/>
    <mergeCell ref="H15:H16"/>
    <mergeCell ref="G17:G18"/>
    <mergeCell ref="H17:H18"/>
    <mergeCell ref="G19:G20"/>
    <mergeCell ref="H19:H20"/>
    <mergeCell ref="G21:G22"/>
    <mergeCell ref="H21:H22"/>
    <mergeCell ref="G23:G24"/>
    <mergeCell ref="H23:H24"/>
    <mergeCell ref="G25:G26"/>
    <mergeCell ref="H25:H26"/>
    <mergeCell ref="G27:G28"/>
    <mergeCell ref="H27:H28"/>
    <mergeCell ref="G29:G30"/>
    <mergeCell ref="A11:F11"/>
    <mergeCell ref="B12:C12"/>
    <mergeCell ref="A13:A14"/>
    <mergeCell ref="C13:C14"/>
    <mergeCell ref="D13:D14"/>
    <mergeCell ref="F13:F14"/>
    <mergeCell ref="A6:F6"/>
    <mergeCell ref="B7:C7"/>
    <mergeCell ref="A8:A9"/>
    <mergeCell ref="C8:C9"/>
    <mergeCell ref="D8:D9"/>
    <mergeCell ref="F8:F9"/>
    <mergeCell ref="A15:A16"/>
    <mergeCell ref="C15:C16"/>
    <mergeCell ref="D15:D16"/>
    <mergeCell ref="F15:F16"/>
    <mergeCell ref="A17:A18"/>
    <mergeCell ref="B17:C17"/>
    <mergeCell ref="D17:D18"/>
    <mergeCell ref="F17:F18"/>
    <mergeCell ref="B18:C18"/>
    <mergeCell ref="E17:E18"/>
    <mergeCell ref="A19:A20"/>
    <mergeCell ref="C19:C20"/>
    <mergeCell ref="D19:D20"/>
    <mergeCell ref="F19:F20"/>
    <mergeCell ref="A21:A22"/>
    <mergeCell ref="C21:C22"/>
    <mergeCell ref="D21:D22"/>
    <mergeCell ref="F21:F22"/>
    <mergeCell ref="E19:E20"/>
    <mergeCell ref="E21:E22"/>
    <mergeCell ref="A23:A24"/>
    <mergeCell ref="C23:C24"/>
    <mergeCell ref="D23:D24"/>
    <mergeCell ref="F23:F24"/>
    <mergeCell ref="A25:A26"/>
    <mergeCell ref="C25:C26"/>
    <mergeCell ref="D25:D26"/>
    <mergeCell ref="F25:F26"/>
    <mergeCell ref="E23:E24"/>
    <mergeCell ref="E25:E26"/>
    <mergeCell ref="A27:A28"/>
    <mergeCell ref="C27:C28"/>
    <mergeCell ref="D27:D28"/>
    <mergeCell ref="F27:F28"/>
    <mergeCell ref="A29:A30"/>
    <mergeCell ref="C29:C30"/>
    <mergeCell ref="D29:D30"/>
    <mergeCell ref="F29:F30"/>
    <mergeCell ref="E27:E28"/>
    <mergeCell ref="E29:E30"/>
    <mergeCell ref="A36:A37"/>
    <mergeCell ref="C36:C37"/>
    <mergeCell ref="D36:D37"/>
    <mergeCell ref="F36:F37"/>
    <mergeCell ref="A38:A39"/>
    <mergeCell ref="C38:C39"/>
    <mergeCell ref="D38:D39"/>
    <mergeCell ref="F38:F39"/>
    <mergeCell ref="A31:A32"/>
    <mergeCell ref="C31:C32"/>
    <mergeCell ref="D31:D32"/>
    <mergeCell ref="F31:F32"/>
    <mergeCell ref="B33:C33"/>
    <mergeCell ref="A34:A35"/>
    <mergeCell ref="C34:C35"/>
    <mergeCell ref="D34:D35"/>
    <mergeCell ref="F34:F35"/>
    <mergeCell ref="E31:E32"/>
    <mergeCell ref="E34:E35"/>
    <mergeCell ref="E36:E37"/>
    <mergeCell ref="E38:E39"/>
    <mergeCell ref="B40:C40"/>
    <mergeCell ref="A41:A42"/>
    <mergeCell ref="C41:C42"/>
    <mergeCell ref="D41:D42"/>
    <mergeCell ref="F41:F42"/>
    <mergeCell ref="A43:A44"/>
    <mergeCell ref="C43:C44"/>
    <mergeCell ref="D43:D44"/>
    <mergeCell ref="F43:F44"/>
    <mergeCell ref="E41:E42"/>
    <mergeCell ref="E43:E44"/>
    <mergeCell ref="A45:A46"/>
    <mergeCell ref="B45:C45"/>
    <mergeCell ref="D45:D46"/>
    <mergeCell ref="F45:F46"/>
    <mergeCell ref="B46:C46"/>
    <mergeCell ref="A47:A48"/>
    <mergeCell ref="C47:C48"/>
    <mergeCell ref="D47:D48"/>
    <mergeCell ref="F47:F48"/>
    <mergeCell ref="E47:E48"/>
    <mergeCell ref="E45:E46"/>
    <mergeCell ref="F52:F53"/>
    <mergeCell ref="A54:A55"/>
    <mergeCell ref="C54:C55"/>
    <mergeCell ref="D54:D55"/>
    <mergeCell ref="F54:F55"/>
    <mergeCell ref="B56:C56"/>
    <mergeCell ref="B49:C49"/>
    <mergeCell ref="B50:C50"/>
    <mergeCell ref="B51:C51"/>
    <mergeCell ref="A52:A53"/>
    <mergeCell ref="C52:C53"/>
    <mergeCell ref="D52:D53"/>
    <mergeCell ref="E52:E53"/>
    <mergeCell ref="E54:E55"/>
    <mergeCell ref="B62:C62"/>
    <mergeCell ref="B63:C63"/>
    <mergeCell ref="A64:A65"/>
    <mergeCell ref="C64:C65"/>
    <mergeCell ref="D64:D65"/>
    <mergeCell ref="F64:F65"/>
    <mergeCell ref="E64:E65"/>
    <mergeCell ref="B57:C57"/>
    <mergeCell ref="A58:A59"/>
    <mergeCell ref="C58:C59"/>
    <mergeCell ref="D58:D59"/>
    <mergeCell ref="F58:F59"/>
    <mergeCell ref="A60:A61"/>
    <mergeCell ref="C60:C61"/>
    <mergeCell ref="D60:D61"/>
    <mergeCell ref="F60:F61"/>
    <mergeCell ref="E58:E59"/>
    <mergeCell ref="E60:E61"/>
    <mergeCell ref="B70:C70"/>
    <mergeCell ref="A71:A72"/>
    <mergeCell ref="B71:C71"/>
    <mergeCell ref="D71:D72"/>
    <mergeCell ref="F71:F72"/>
    <mergeCell ref="B72:C72"/>
    <mergeCell ref="A66:A67"/>
    <mergeCell ref="C66:C67"/>
    <mergeCell ref="D66:D67"/>
    <mergeCell ref="F66:F67"/>
    <mergeCell ref="A68:A69"/>
    <mergeCell ref="B68:C68"/>
    <mergeCell ref="D68:D69"/>
    <mergeCell ref="F68:F69"/>
    <mergeCell ref="B69:C69"/>
    <mergeCell ref="E66:E67"/>
    <mergeCell ref="B77:C77"/>
    <mergeCell ref="A78:A79"/>
    <mergeCell ref="B78:C78"/>
    <mergeCell ref="D78:D79"/>
    <mergeCell ref="F78:F79"/>
    <mergeCell ref="B79:C79"/>
    <mergeCell ref="A73:A74"/>
    <mergeCell ref="C73:C74"/>
    <mergeCell ref="D73:D74"/>
    <mergeCell ref="F73:F74"/>
    <mergeCell ref="A75:A76"/>
    <mergeCell ref="C75:C76"/>
    <mergeCell ref="D75:D76"/>
    <mergeCell ref="F75:F76"/>
    <mergeCell ref="A80:A81"/>
    <mergeCell ref="C80:C81"/>
    <mergeCell ref="D80:D81"/>
    <mergeCell ref="F80:F81"/>
    <mergeCell ref="A82:A83"/>
    <mergeCell ref="B82:C82"/>
    <mergeCell ref="D82:D83"/>
    <mergeCell ref="F82:F83"/>
    <mergeCell ref="B83:C83"/>
    <mergeCell ref="E82:E83"/>
    <mergeCell ref="D93:D94"/>
    <mergeCell ref="E91:E92"/>
    <mergeCell ref="B88:C88"/>
    <mergeCell ref="A89:A90"/>
    <mergeCell ref="C89:C90"/>
    <mergeCell ref="D89:D90"/>
    <mergeCell ref="F89:F90"/>
    <mergeCell ref="E89:E90"/>
    <mergeCell ref="A84:A85"/>
    <mergeCell ref="C84:C85"/>
    <mergeCell ref="D84:D85"/>
    <mergeCell ref="F84:F85"/>
    <mergeCell ref="A86:A87"/>
    <mergeCell ref="C86:C87"/>
    <mergeCell ref="D86:D87"/>
    <mergeCell ref="F86:F87"/>
    <mergeCell ref="E84:E85"/>
    <mergeCell ref="E86:E87"/>
    <mergeCell ref="E93:E94"/>
    <mergeCell ref="A105:A106"/>
    <mergeCell ref="C105:C106"/>
    <mergeCell ref="D105:D106"/>
    <mergeCell ref="F105:F106"/>
    <mergeCell ref="B98:C98"/>
    <mergeCell ref="B99:C99"/>
    <mergeCell ref="A100:A101"/>
    <mergeCell ref="C100:C101"/>
    <mergeCell ref="D100:D101"/>
    <mergeCell ref="F100:F101"/>
    <mergeCell ref="A1:F1"/>
    <mergeCell ref="A2:F2"/>
    <mergeCell ref="A3:F3"/>
    <mergeCell ref="E8:E9"/>
    <mergeCell ref="E13:E14"/>
    <mergeCell ref="E15:E16"/>
    <mergeCell ref="B102:C102"/>
    <mergeCell ref="A103:A104"/>
    <mergeCell ref="C103:C104"/>
    <mergeCell ref="D103:D104"/>
    <mergeCell ref="F103:F104"/>
    <mergeCell ref="B95:C95"/>
    <mergeCell ref="A96:A97"/>
    <mergeCell ref="B96:C96"/>
    <mergeCell ref="D96:D97"/>
    <mergeCell ref="F96:F97"/>
    <mergeCell ref="B97:C97"/>
    <mergeCell ref="A91:A92"/>
    <mergeCell ref="C91:C92"/>
    <mergeCell ref="D91:D92"/>
    <mergeCell ref="F91:F92"/>
    <mergeCell ref="F93:F94"/>
    <mergeCell ref="A93:A94"/>
    <mergeCell ref="C93:C94"/>
    <mergeCell ref="E96:E97"/>
    <mergeCell ref="E100:E101"/>
    <mergeCell ref="E103:E104"/>
    <mergeCell ref="E105:E106"/>
    <mergeCell ref="E68:E69"/>
    <mergeCell ref="E71:E72"/>
    <mergeCell ref="E73:E74"/>
    <mergeCell ref="E75:E76"/>
    <mergeCell ref="E78:E79"/>
    <mergeCell ref="E80:E81"/>
  </mergeCells>
  <phoneticPr fontId="26" type="noConversion"/>
  <pageMargins left="0.511811024" right="0.511811024" top="0.78740157499999996" bottom="0.78740157499999996" header="0.31496062000000002" footer="0.31496062000000002"/>
  <pageSetup paperSize="9" scale="18" orientation="portrait" r:id="rId1"/>
  <rowBreaks count="2" manualBreakCount="2">
    <brk id="62" max="4" man="1"/>
    <brk id="76" max="4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'Validação de dados'!$D$1:$D$16</xm:f>
          </x14:formula1>
          <xm:sqref>A112:A127</xm:sqref>
        </x14:dataValidation>
        <x14:dataValidation type="list" allowBlank="1" showInputMessage="1" showErrorMessage="1">
          <x14:formula1>
            <xm:f>'Validação de dados'!$G$1:$G$28</xm:f>
          </x14:formula1>
          <xm:sqref>B5:F5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0">
    <tabColor rgb="FF7030A0"/>
  </sheetPr>
  <dimension ref="A1:IO26"/>
  <sheetViews>
    <sheetView showGridLines="0" zoomScaleNormal="100" workbookViewId="0">
      <selection activeCell="H17" sqref="H17"/>
    </sheetView>
  </sheetViews>
  <sheetFormatPr defaultColWidth="0" defaultRowHeight="22.8" zeroHeight="1" x14ac:dyDescent="0.4"/>
  <cols>
    <col min="1" max="1" width="16.5546875" style="80" customWidth="1"/>
    <col min="2" max="2" width="70.44140625" style="81" customWidth="1"/>
    <col min="3" max="3" width="8.44140625" style="81" bestFit="1" customWidth="1"/>
    <col min="4" max="4" width="17.6640625" style="87" customWidth="1"/>
    <col min="5" max="5" width="8.109375" style="81" bestFit="1" customWidth="1"/>
    <col min="6" max="6" width="17.6640625" style="87" customWidth="1"/>
    <col min="7" max="7" width="8.44140625" style="81" bestFit="1" customWidth="1"/>
    <col min="8" max="8" width="17.6640625" style="87" customWidth="1"/>
    <col min="9" max="9" width="8.44140625" style="81" bestFit="1" customWidth="1"/>
    <col min="10" max="10" width="17.6640625" style="87" customWidth="1"/>
    <col min="11" max="11" width="12.33203125" style="81" bestFit="1" customWidth="1"/>
    <col min="12" max="12" width="8.5546875" style="74" customWidth="1"/>
    <col min="13" max="13" width="130.6640625" style="96" bestFit="1" customWidth="1"/>
    <col min="14" max="249" width="0" style="74" hidden="1" customWidth="1"/>
    <col min="250" max="16384" width="22.5546875" style="74" hidden="1"/>
  </cols>
  <sheetData>
    <row r="1" spans="1:13" x14ac:dyDescent="0.4">
      <c r="A1" s="592" t="s">
        <v>416</v>
      </c>
      <c r="B1" s="592" t="s">
        <v>415</v>
      </c>
      <c r="C1" s="585" t="s">
        <v>414</v>
      </c>
      <c r="D1" s="585"/>
      <c r="E1" s="585" t="s">
        <v>417</v>
      </c>
      <c r="F1" s="585"/>
      <c r="G1" s="585" t="s">
        <v>413</v>
      </c>
      <c r="H1" s="585"/>
      <c r="I1" s="585" t="s">
        <v>412</v>
      </c>
      <c r="J1" s="585"/>
      <c r="K1" s="586" t="s">
        <v>411</v>
      </c>
      <c r="M1" s="97" t="s">
        <v>419</v>
      </c>
    </row>
    <row r="2" spans="1:13" x14ac:dyDescent="0.4">
      <c r="A2" s="593"/>
      <c r="B2" s="593"/>
      <c r="C2" s="89" t="s">
        <v>410</v>
      </c>
      <c r="D2" s="90" t="s">
        <v>49</v>
      </c>
      <c r="E2" s="89" t="s">
        <v>410</v>
      </c>
      <c r="F2" s="90" t="s">
        <v>49</v>
      </c>
      <c r="G2" s="89" t="s">
        <v>410</v>
      </c>
      <c r="H2" s="90" t="s">
        <v>49</v>
      </c>
      <c r="I2" s="89" t="s">
        <v>410</v>
      </c>
      <c r="J2" s="90" t="s">
        <v>49</v>
      </c>
      <c r="K2" s="587"/>
      <c r="M2" s="97" t="s">
        <v>420</v>
      </c>
    </row>
    <row r="3" spans="1:13" ht="30.75" customHeight="1" x14ac:dyDescent="0.4">
      <c r="A3" s="588" t="s">
        <v>165</v>
      </c>
      <c r="B3" s="77" t="s">
        <v>19</v>
      </c>
      <c r="C3" s="78">
        <f>COUNTIFS('Quadro Geral'!$E:$E,'Matriz de Obj. Estrat.'!$B3,'Quadro Geral'!$B:$B,"P")</f>
        <v>0</v>
      </c>
      <c r="D3" s="86">
        <f>SUMIFS('Quadro Geral'!$I:$I,'Quadro Geral'!$E:$E,'Matriz de Obj. Estrat.'!$B3,'Quadro Geral'!$B:$B,"P")</f>
        <v>0</v>
      </c>
      <c r="E3" s="78">
        <f>COUNTIFS('Quadro Geral'!$E:$E,'Matriz de Obj. Estrat.'!$B3,'Quadro Geral'!$B:$B,"PE")</f>
        <v>0</v>
      </c>
      <c r="F3" s="86">
        <f>SUMIFS('Quadro Geral'!$I:$I,'Quadro Geral'!$E:$E,'Matriz de Obj. Estrat.'!$B3,'Quadro Geral'!$B:$B,"PE")</f>
        <v>0</v>
      </c>
      <c r="G3" s="78">
        <f>COUNTIFS('Quadro Geral'!$E:$E,'Matriz de Obj. Estrat.'!$B3,'Quadro Geral'!$B:$B,"A")</f>
        <v>0</v>
      </c>
      <c r="H3" s="86">
        <f>SUMIFS('Quadro Geral'!$I:$I,'Quadro Geral'!$E:$E,'Matriz de Obj. Estrat.'!$B3,'Quadro Geral'!$B:$B,"A")</f>
        <v>0</v>
      </c>
      <c r="I3" s="78">
        <f>C3+E3+G3</f>
        <v>0</v>
      </c>
      <c r="J3" s="86">
        <f>D3+F3+H3</f>
        <v>0</v>
      </c>
      <c r="K3" s="79">
        <f t="shared" ref="K3:K18" si="0">IFERROR(J3/$J$19*100,0)</f>
        <v>0</v>
      </c>
      <c r="M3" s="96" t="s">
        <v>26</v>
      </c>
    </row>
    <row r="4" spans="1:13" ht="30.75" customHeight="1" x14ac:dyDescent="0.4">
      <c r="A4" s="588"/>
      <c r="B4" s="77" t="s">
        <v>144</v>
      </c>
      <c r="C4" s="78">
        <f>COUNTIFS('Quadro Geral'!$E:$E,'Matriz de Obj. Estrat.'!$B4,'Quadro Geral'!$B:$B,"P")</f>
        <v>0</v>
      </c>
      <c r="D4" s="86">
        <f>SUMIFS('Quadro Geral'!$I:$I,'Quadro Geral'!$E:$E,'Matriz de Obj. Estrat.'!$B4,'Quadro Geral'!$B:$B,"P")</f>
        <v>0</v>
      </c>
      <c r="E4" s="78">
        <f>COUNTIFS('Quadro Geral'!$E:$E,'Matriz de Obj. Estrat.'!$B4,'Quadro Geral'!$B:$B,"PE")</f>
        <v>0</v>
      </c>
      <c r="F4" s="86">
        <f>SUMIFS('Quadro Geral'!$I:$I,'Quadro Geral'!$E:$E,'Matriz de Obj. Estrat.'!$B4,'Quadro Geral'!$B:$B,"PE")</f>
        <v>0</v>
      </c>
      <c r="G4" s="78">
        <f>COUNTIFS('Quadro Geral'!$E:$E,'Matriz de Obj. Estrat.'!$B4,'Quadro Geral'!$B:$B,"A")</f>
        <v>0</v>
      </c>
      <c r="H4" s="86">
        <f>SUMIFS('Quadro Geral'!$I:$I,'Quadro Geral'!$E:$E,'Matriz de Obj. Estrat.'!$B4,'Quadro Geral'!$B:$B,"A")</f>
        <v>0</v>
      </c>
      <c r="I4" s="78">
        <f t="shared" ref="I4:I18" si="1">C4+E4+G4</f>
        <v>0</v>
      </c>
      <c r="J4" s="86">
        <f t="shared" ref="J4:J18" si="2">D4+F4+H4</f>
        <v>0</v>
      </c>
      <c r="K4" s="79">
        <f t="shared" si="0"/>
        <v>0</v>
      </c>
      <c r="M4" s="96" t="s">
        <v>19</v>
      </c>
    </row>
    <row r="5" spans="1:13" ht="30.75" customHeight="1" x14ac:dyDescent="0.4">
      <c r="A5" s="589" t="s">
        <v>409</v>
      </c>
      <c r="B5" s="77" t="s">
        <v>20</v>
      </c>
      <c r="C5" s="78">
        <f>COUNTIFS('Quadro Geral'!$E:$E,'Matriz de Obj. Estrat.'!$B5,'Quadro Geral'!$B:$B,"P")</f>
        <v>4</v>
      </c>
      <c r="D5" s="86">
        <f>SUMIFS('Quadro Geral'!$I:$I,'Quadro Geral'!$E:$E,'Matriz de Obj. Estrat.'!$B5,'Quadro Geral'!$B:$B,"P")</f>
        <v>1771084.2</v>
      </c>
      <c r="E5" s="78">
        <f>COUNTIFS('Quadro Geral'!$E:$E,'Matriz de Obj. Estrat.'!$B5,'Quadro Geral'!$B:$B,"PE")</f>
        <v>0</v>
      </c>
      <c r="F5" s="86">
        <f>SUMIFS('Quadro Geral'!$I:$I,'Quadro Geral'!$E:$E,'Matriz de Obj. Estrat.'!$B5,'Quadro Geral'!$B:$B,"PE")</f>
        <v>0</v>
      </c>
      <c r="G5" s="78">
        <f>COUNTIFS('Quadro Geral'!$E:$E,'Matriz de Obj. Estrat.'!$B5,'Quadro Geral'!$B:$B,"A")</f>
        <v>3</v>
      </c>
      <c r="H5" s="86">
        <f>SUMIFS('Quadro Geral'!$I:$I,'Quadro Geral'!$E:$E,'Matriz de Obj. Estrat.'!$B5,'Quadro Geral'!$B:$B,"A")</f>
        <v>4532980.1100000003</v>
      </c>
      <c r="I5" s="78">
        <f t="shared" si="1"/>
        <v>7</v>
      </c>
      <c r="J5" s="86">
        <f t="shared" si="2"/>
        <v>6304064.3100000005</v>
      </c>
      <c r="K5" s="79">
        <f t="shared" si="0"/>
        <v>28.32210538841473</v>
      </c>
      <c r="M5" s="96" t="s">
        <v>124</v>
      </c>
    </row>
    <row r="6" spans="1:13" ht="30.75" customHeight="1" x14ac:dyDescent="0.4">
      <c r="A6" s="589"/>
      <c r="B6" s="77" t="s">
        <v>112</v>
      </c>
      <c r="C6" s="78">
        <f>COUNTIFS('Quadro Geral'!$E:$E,'Matriz de Obj. Estrat.'!$B6,'Quadro Geral'!$B:$B,"P")</f>
        <v>3</v>
      </c>
      <c r="D6" s="86">
        <f>SUMIFS('Quadro Geral'!$I:$I,'Quadro Geral'!$E:$E,'Matriz de Obj. Estrat.'!$B6,'Quadro Geral'!$B:$B,"P")</f>
        <v>1074500</v>
      </c>
      <c r="E6" s="78">
        <f>COUNTIFS('Quadro Geral'!$E:$E,'Matriz de Obj. Estrat.'!$B6,'Quadro Geral'!$B:$B,"PE")</f>
        <v>1</v>
      </c>
      <c r="F6" s="86">
        <f>SUMIFS('Quadro Geral'!$I:$I,'Quadro Geral'!$E:$E,'Matriz de Obj. Estrat.'!$B6,'Quadro Geral'!$B:$B,"PE")</f>
        <v>0</v>
      </c>
      <c r="G6" s="78">
        <f>COUNTIFS('Quadro Geral'!$E:$E,'Matriz de Obj. Estrat.'!$B6,'Quadro Geral'!$B:$B,"A")</f>
        <v>2</v>
      </c>
      <c r="H6" s="86">
        <f>SUMIFS('Quadro Geral'!$I:$I,'Quadro Geral'!$E:$E,'Matriz de Obj. Estrat.'!$B6,'Quadro Geral'!$B:$B,"A")</f>
        <v>1703359.8900000001</v>
      </c>
      <c r="I6" s="78">
        <f t="shared" si="1"/>
        <v>6</v>
      </c>
      <c r="J6" s="86">
        <f t="shared" si="2"/>
        <v>2777859.89</v>
      </c>
      <c r="K6" s="79">
        <f t="shared" si="0"/>
        <v>12.480018713329109</v>
      </c>
    </row>
    <row r="7" spans="1:13" ht="30.75" customHeight="1" x14ac:dyDescent="0.4">
      <c r="A7" s="589"/>
      <c r="B7" s="77" t="s">
        <v>22</v>
      </c>
      <c r="C7" s="78">
        <f>COUNTIFS('Quadro Geral'!$E:$E,'Matriz de Obj. Estrat.'!$B7,'Quadro Geral'!$B:$B,"P")</f>
        <v>3</v>
      </c>
      <c r="D7" s="86">
        <f>SUMIFS('Quadro Geral'!$I:$I,'Quadro Geral'!$E:$E,'Matriz de Obj. Estrat.'!$B7,'Quadro Geral'!$B:$B,"P")</f>
        <v>268617</v>
      </c>
      <c r="E7" s="78">
        <f>COUNTIFS('Quadro Geral'!$E:$E,'Matriz de Obj. Estrat.'!$B7,'Quadro Geral'!$B:$B,"PE")</f>
        <v>3</v>
      </c>
      <c r="F7" s="86">
        <f>SUMIFS('Quadro Geral'!$I:$I,'Quadro Geral'!$E:$E,'Matriz de Obj. Estrat.'!$B7,'Quadro Geral'!$B:$B,"PE")</f>
        <v>830000</v>
      </c>
      <c r="G7" s="78">
        <f>COUNTIFS('Quadro Geral'!$E:$E,'Matriz de Obj. Estrat.'!$B7,'Quadro Geral'!$B:$B,"A")</f>
        <v>2</v>
      </c>
      <c r="H7" s="86">
        <f>SUMIFS('Quadro Geral'!$I:$I,'Quadro Geral'!$E:$E,'Matriz de Obj. Estrat.'!$B7,'Quadro Geral'!$B:$B,"A")</f>
        <v>31504.400000000001</v>
      </c>
      <c r="I7" s="78">
        <f t="shared" si="1"/>
        <v>8</v>
      </c>
      <c r="J7" s="86">
        <f t="shared" si="2"/>
        <v>1130121.3999999999</v>
      </c>
      <c r="K7" s="79">
        <f t="shared" si="0"/>
        <v>5.077266953278083</v>
      </c>
    </row>
    <row r="8" spans="1:13" ht="30.75" customHeight="1" x14ac:dyDescent="0.4">
      <c r="A8" s="589"/>
      <c r="B8" s="77" t="s">
        <v>124</v>
      </c>
      <c r="C8" s="78">
        <f>COUNTIFS('Quadro Geral'!$E:$E,'Matriz de Obj. Estrat.'!$B8,'Quadro Geral'!$B:$B,"P")</f>
        <v>0</v>
      </c>
      <c r="D8" s="86">
        <f>SUMIFS('Quadro Geral'!$I:$I,'Quadro Geral'!$E:$E,'Matriz de Obj. Estrat.'!$B8,'Quadro Geral'!$B:$B,"P")</f>
        <v>0</v>
      </c>
      <c r="E8" s="78">
        <f>COUNTIFS('Quadro Geral'!$E:$E,'Matriz de Obj. Estrat.'!$B8,'Quadro Geral'!$B:$B,"PE")</f>
        <v>0</v>
      </c>
      <c r="F8" s="86">
        <f>SUMIFS('Quadro Geral'!$I:$I,'Quadro Geral'!$E:$E,'Matriz de Obj. Estrat.'!$B8,'Quadro Geral'!$B:$B,"PE")</f>
        <v>0</v>
      </c>
      <c r="G8" s="78">
        <f>COUNTIFS('Quadro Geral'!$E:$E,'Matriz de Obj. Estrat.'!$B8,'Quadro Geral'!$B:$B,"A")</f>
        <v>1</v>
      </c>
      <c r="H8" s="86">
        <f>SUMIFS('Quadro Geral'!$I:$I,'Quadro Geral'!$E:$E,'Matriz de Obj. Estrat.'!$B8,'Quadro Geral'!$B:$B,"A")</f>
        <v>43939.4</v>
      </c>
      <c r="I8" s="78">
        <f t="shared" si="1"/>
        <v>1</v>
      </c>
      <c r="J8" s="86">
        <f t="shared" si="2"/>
        <v>43939.4</v>
      </c>
      <c r="K8" s="79">
        <f t="shared" si="0"/>
        <v>0.19740539694838716</v>
      </c>
    </row>
    <row r="9" spans="1:13" ht="30.75" customHeight="1" x14ac:dyDescent="0.4">
      <c r="A9" s="589"/>
      <c r="B9" s="77" t="s">
        <v>145</v>
      </c>
      <c r="C9" s="78">
        <f>COUNTIFS('Quadro Geral'!$E:$E,'Matriz de Obj. Estrat.'!$B9,'Quadro Geral'!$B:$B,"P")</f>
        <v>0</v>
      </c>
      <c r="D9" s="86">
        <f>SUMIFS('Quadro Geral'!$I:$I,'Quadro Geral'!$E:$E,'Matriz de Obj. Estrat.'!$B9,'Quadro Geral'!$B:$B,"P")</f>
        <v>0</v>
      </c>
      <c r="E9" s="78">
        <f>COUNTIFS('Quadro Geral'!$E:$E,'Matriz de Obj. Estrat.'!$B9,'Quadro Geral'!$B:$B,"PE")</f>
        <v>0</v>
      </c>
      <c r="F9" s="86">
        <f>SUMIFS('Quadro Geral'!$I:$I,'Quadro Geral'!$E:$E,'Matriz de Obj. Estrat.'!$B9,'Quadro Geral'!$B:$B,"PE")</f>
        <v>0</v>
      </c>
      <c r="G9" s="78">
        <f>COUNTIFS('Quadro Geral'!$E:$E,'Matriz de Obj. Estrat.'!$B9,'Quadro Geral'!$B:$B,"A")</f>
        <v>0</v>
      </c>
      <c r="H9" s="86">
        <f>SUMIFS('Quadro Geral'!$I:$I,'Quadro Geral'!$E:$E,'Matriz de Obj. Estrat.'!$B9,'Quadro Geral'!$B:$B,"A")</f>
        <v>0</v>
      </c>
      <c r="I9" s="78">
        <f t="shared" si="1"/>
        <v>0</v>
      </c>
      <c r="J9" s="86">
        <f t="shared" si="2"/>
        <v>0</v>
      </c>
      <c r="K9" s="79">
        <f t="shared" si="0"/>
        <v>0</v>
      </c>
    </row>
    <row r="10" spans="1:13" ht="30.75" customHeight="1" x14ac:dyDescent="0.4">
      <c r="A10" s="589"/>
      <c r="B10" s="77" t="s">
        <v>118</v>
      </c>
      <c r="C10" s="78">
        <f>COUNTIFS('Quadro Geral'!$E:$E,'Matriz de Obj. Estrat.'!$B10,'Quadro Geral'!$B:$B,"P")</f>
        <v>0</v>
      </c>
      <c r="D10" s="86">
        <f>SUMIFS('Quadro Geral'!$I:$I,'Quadro Geral'!$E:$E,'Matriz de Obj. Estrat.'!$B10,'Quadro Geral'!$B:$B,"P")</f>
        <v>0</v>
      </c>
      <c r="E10" s="78">
        <f>COUNTIFS('Quadro Geral'!$E:$E,'Matriz de Obj. Estrat.'!$B10,'Quadro Geral'!$B:$B,"PE")</f>
        <v>0</v>
      </c>
      <c r="F10" s="86">
        <f>SUMIFS('Quadro Geral'!$I:$I,'Quadro Geral'!$E:$E,'Matriz de Obj. Estrat.'!$B10,'Quadro Geral'!$B:$B,"PE")</f>
        <v>0</v>
      </c>
      <c r="G10" s="78">
        <f>COUNTIFS('Quadro Geral'!$E:$E,'Matriz de Obj. Estrat.'!$B10,'Quadro Geral'!$B:$B,"A")</f>
        <v>3</v>
      </c>
      <c r="H10" s="86">
        <f>SUMIFS('Quadro Geral'!$I:$I,'Quadro Geral'!$E:$E,'Matriz de Obj. Estrat.'!$B10,'Quadro Geral'!$B:$B,"A")</f>
        <v>746019.55999999994</v>
      </c>
      <c r="I10" s="78">
        <f t="shared" si="1"/>
        <v>3</v>
      </c>
      <c r="J10" s="86">
        <f t="shared" si="2"/>
        <v>746019.55999999994</v>
      </c>
      <c r="K10" s="79">
        <f t="shared" si="0"/>
        <v>3.3516226296458553</v>
      </c>
    </row>
    <row r="11" spans="1:13" ht="30.75" customHeight="1" x14ac:dyDescent="0.4">
      <c r="A11" s="589"/>
      <c r="B11" s="77" t="s">
        <v>25</v>
      </c>
      <c r="C11" s="78">
        <f>COUNTIFS('Quadro Geral'!$E:$E,'Matriz de Obj. Estrat.'!$B11,'Quadro Geral'!$B:$B,"P")</f>
        <v>0</v>
      </c>
      <c r="D11" s="86">
        <f>SUMIFS('Quadro Geral'!$I:$I,'Quadro Geral'!$E:$E,'Matriz de Obj. Estrat.'!$B11,'Quadro Geral'!$B:$B,"P")</f>
        <v>0</v>
      </c>
      <c r="E11" s="78">
        <f>COUNTIFS('Quadro Geral'!$E:$E,'Matriz de Obj. Estrat.'!$B11,'Quadro Geral'!$B:$B,"PE")</f>
        <v>1</v>
      </c>
      <c r="F11" s="86">
        <f>SUMIFS('Quadro Geral'!$I:$I,'Quadro Geral'!$E:$E,'Matriz de Obj. Estrat.'!$B11,'Quadro Geral'!$B:$B,"PE")</f>
        <v>230000</v>
      </c>
      <c r="G11" s="78">
        <f>COUNTIFS('Quadro Geral'!$E:$E,'Matriz de Obj. Estrat.'!$B11,'Quadro Geral'!$B:$B,"A")</f>
        <v>2</v>
      </c>
      <c r="H11" s="86">
        <f>SUMIFS('Quadro Geral'!$I:$I,'Quadro Geral'!$E:$E,'Matriz de Obj. Estrat.'!$B11,'Quadro Geral'!$B:$B,"A")</f>
        <v>1271777.6000000001</v>
      </c>
      <c r="I11" s="78">
        <f t="shared" si="1"/>
        <v>3</v>
      </c>
      <c r="J11" s="86">
        <f t="shared" si="2"/>
        <v>1501777.6</v>
      </c>
      <c r="K11" s="79">
        <f t="shared" si="0"/>
        <v>6.7469970745207304</v>
      </c>
    </row>
    <row r="12" spans="1:13" ht="30.75" customHeight="1" x14ac:dyDescent="0.4">
      <c r="A12" s="589"/>
      <c r="B12" s="77" t="s">
        <v>26</v>
      </c>
      <c r="C12" s="78">
        <f>COUNTIFS('Quadro Geral'!$E:$E,'Matriz de Obj. Estrat.'!$B12,'Quadro Geral'!$B:$B,"P")</f>
        <v>0</v>
      </c>
      <c r="D12" s="86">
        <f>SUMIFS('Quadro Geral'!$I:$I,'Quadro Geral'!$E:$E,'Matriz de Obj. Estrat.'!$B12,'Quadro Geral'!$B:$B,"P")</f>
        <v>0</v>
      </c>
      <c r="E12" s="78">
        <f>COUNTIFS('Quadro Geral'!$E:$E,'Matriz de Obj. Estrat.'!$B12,'Quadro Geral'!$B:$B,"PE")</f>
        <v>0</v>
      </c>
      <c r="F12" s="86">
        <f>SUMIFS('Quadro Geral'!$I:$I,'Quadro Geral'!$E:$E,'Matriz de Obj. Estrat.'!$B12,'Quadro Geral'!$B:$B,"PE")</f>
        <v>0</v>
      </c>
      <c r="G12" s="78">
        <f>COUNTIFS('Quadro Geral'!$E:$E,'Matriz de Obj. Estrat.'!$B12,'Quadro Geral'!$B:$B,"A")</f>
        <v>1</v>
      </c>
      <c r="H12" s="86">
        <f>SUMIFS('Quadro Geral'!$I:$I,'Quadro Geral'!$E:$E,'Matriz de Obj. Estrat.'!$B12,'Quadro Geral'!$B:$B,"A")</f>
        <v>30675.25</v>
      </c>
      <c r="I12" s="78">
        <f t="shared" si="1"/>
        <v>1</v>
      </c>
      <c r="J12" s="86">
        <f t="shared" si="2"/>
        <v>30675.25</v>
      </c>
      <c r="K12" s="79">
        <f t="shared" si="0"/>
        <v>0.13781389601908567</v>
      </c>
    </row>
    <row r="13" spans="1:13" ht="30.75" customHeight="1" x14ac:dyDescent="0.4">
      <c r="A13" s="589"/>
      <c r="B13" s="77" t="s">
        <v>27</v>
      </c>
      <c r="C13" s="78">
        <f>COUNTIFS('Quadro Geral'!$E:$E,'Matriz de Obj. Estrat.'!$B13,'Quadro Geral'!$B:$B,"P")</f>
        <v>1</v>
      </c>
      <c r="D13" s="86">
        <f>SUMIFS('Quadro Geral'!$I:$I,'Quadro Geral'!$E:$E,'Matriz de Obj. Estrat.'!$B13,'Quadro Geral'!$B:$B,"P")</f>
        <v>214066.68</v>
      </c>
      <c r="E13" s="78">
        <f>COUNTIFS('Quadro Geral'!$E:$E,'Matriz de Obj. Estrat.'!$B13,'Quadro Geral'!$B:$B,"PE")</f>
        <v>4</v>
      </c>
      <c r="F13" s="86">
        <f>SUMIFS('Quadro Geral'!$I:$I,'Quadro Geral'!$E:$E,'Matriz de Obj. Estrat.'!$B13,'Quadro Geral'!$B:$B,"PE")</f>
        <v>700000</v>
      </c>
      <c r="G13" s="78">
        <f>COUNTIFS('Quadro Geral'!$E:$E,'Matriz de Obj. Estrat.'!$B13,'Quadro Geral'!$B:$B,"A")</f>
        <v>0</v>
      </c>
      <c r="H13" s="86">
        <f>SUMIFS('Quadro Geral'!$I:$I,'Quadro Geral'!$E:$E,'Matriz de Obj. Estrat.'!$B13,'Quadro Geral'!$B:$B,"A")</f>
        <v>0</v>
      </c>
      <c r="I13" s="78">
        <f t="shared" si="1"/>
        <v>5</v>
      </c>
      <c r="J13" s="86">
        <f t="shared" si="2"/>
        <v>914066.67999999993</v>
      </c>
      <c r="K13" s="79">
        <f t="shared" si="0"/>
        <v>4.1066035449435896</v>
      </c>
    </row>
    <row r="14" spans="1:13" ht="30.75" customHeight="1" x14ac:dyDescent="0.4">
      <c r="A14" s="589"/>
      <c r="B14" s="77" t="s">
        <v>28</v>
      </c>
      <c r="C14" s="78">
        <f>COUNTIFS('Quadro Geral'!$E:$E,'Matriz de Obj. Estrat.'!$B14,'Quadro Geral'!$B:$B,"P")</f>
        <v>0</v>
      </c>
      <c r="D14" s="86">
        <f>SUMIFS('Quadro Geral'!$I:$I,'Quadro Geral'!$E:$E,'Matriz de Obj. Estrat.'!$B14,'Quadro Geral'!$B:$B,"P")</f>
        <v>0</v>
      </c>
      <c r="E14" s="78">
        <f>COUNTIFS('Quadro Geral'!$E:$E,'Matriz de Obj. Estrat.'!$B14,'Quadro Geral'!$B:$B,"PE")</f>
        <v>0</v>
      </c>
      <c r="F14" s="86">
        <f>SUMIFS('Quadro Geral'!$I:$I,'Quadro Geral'!$E:$E,'Matriz de Obj. Estrat.'!$B14,'Quadro Geral'!$B:$B,"PE")</f>
        <v>0</v>
      </c>
      <c r="G14" s="78">
        <f>COUNTIFS('Quadro Geral'!$E:$E,'Matriz de Obj. Estrat.'!$B14,'Quadro Geral'!$B:$B,"A")</f>
        <v>3</v>
      </c>
      <c r="H14" s="86">
        <f>SUMIFS('Quadro Geral'!$I:$I,'Quadro Geral'!$E:$E,'Matriz de Obj. Estrat.'!$B14,'Quadro Geral'!$B:$B,"A")</f>
        <v>315341.56</v>
      </c>
      <c r="I14" s="78">
        <f t="shared" si="1"/>
        <v>3</v>
      </c>
      <c r="J14" s="86">
        <f t="shared" si="2"/>
        <v>315341.56</v>
      </c>
      <c r="K14" s="79">
        <f t="shared" si="0"/>
        <v>1.4167268061494611</v>
      </c>
    </row>
    <row r="15" spans="1:13" ht="30.75" customHeight="1" x14ac:dyDescent="0.4">
      <c r="A15" s="589"/>
      <c r="B15" s="77" t="s">
        <v>29</v>
      </c>
      <c r="C15" s="78">
        <f>COUNTIFS('Quadro Geral'!$E:$E,'Matriz de Obj. Estrat.'!$B15,'Quadro Geral'!$B:$B,"P")</f>
        <v>0</v>
      </c>
      <c r="D15" s="86">
        <f>SUMIFS('Quadro Geral'!$I:$I,'Quadro Geral'!$E:$E,'Matriz de Obj. Estrat.'!$B15,'Quadro Geral'!$B:$B,"P")</f>
        <v>0</v>
      </c>
      <c r="E15" s="78">
        <f>COUNTIFS('Quadro Geral'!$E:$E,'Matriz de Obj. Estrat.'!$B15,'Quadro Geral'!$B:$B,"PE")</f>
        <v>0</v>
      </c>
      <c r="F15" s="86">
        <f>SUMIFS('Quadro Geral'!$I:$I,'Quadro Geral'!$E:$E,'Matriz de Obj. Estrat.'!$B15,'Quadro Geral'!$B:$B,"PE")</f>
        <v>0</v>
      </c>
      <c r="G15" s="78">
        <f>COUNTIFS('Quadro Geral'!$E:$E,'Matriz de Obj. Estrat.'!$B15,'Quadro Geral'!$B:$B,"A")</f>
        <v>6</v>
      </c>
      <c r="H15" s="86">
        <f>SUMIFS('Quadro Geral'!$I:$I,'Quadro Geral'!$E:$E,'Matriz de Obj. Estrat.'!$B15,'Quadro Geral'!$B:$B,"A")</f>
        <v>4885185.2699999996</v>
      </c>
      <c r="I15" s="78">
        <f t="shared" si="1"/>
        <v>6</v>
      </c>
      <c r="J15" s="86">
        <f t="shared" si="2"/>
        <v>4885185.2699999996</v>
      </c>
      <c r="K15" s="79">
        <f t="shared" si="0"/>
        <v>21.947544513369859</v>
      </c>
    </row>
    <row r="16" spans="1:13" ht="30.75" customHeight="1" x14ac:dyDescent="0.4">
      <c r="A16" s="590" t="s">
        <v>408</v>
      </c>
      <c r="B16" s="77" t="s">
        <v>30</v>
      </c>
      <c r="C16" s="78">
        <f>COUNTIFS('Quadro Geral'!$E:$E,'Matriz de Obj. Estrat.'!$B16,'Quadro Geral'!$B:$B,"P")</f>
        <v>0</v>
      </c>
      <c r="D16" s="86">
        <f>SUMIFS('Quadro Geral'!$I:$I,'Quadro Geral'!$E:$E,'Matriz de Obj. Estrat.'!$B16,'Quadro Geral'!$B:$B,"P")</f>
        <v>0</v>
      </c>
      <c r="E16" s="78">
        <f>COUNTIFS('Quadro Geral'!$E:$E,'Matriz de Obj. Estrat.'!$B16,'Quadro Geral'!$B:$B,"PE")</f>
        <v>0</v>
      </c>
      <c r="F16" s="86">
        <f>SUMIFS('Quadro Geral'!$I:$I,'Quadro Geral'!$E:$E,'Matriz de Obj. Estrat.'!$B16,'Quadro Geral'!$B:$B,"PE")</f>
        <v>0</v>
      </c>
      <c r="G16" s="78">
        <f>COUNTIFS('Quadro Geral'!$E:$E,'Matriz de Obj. Estrat.'!$B16,'Quadro Geral'!$B:$B,"A")</f>
        <v>1</v>
      </c>
      <c r="H16" s="86">
        <f>SUMIFS('Quadro Geral'!$I:$I,'Quadro Geral'!$E:$E,'Matriz de Obj. Estrat.'!$B16,'Quadro Geral'!$B:$B,"A")</f>
        <v>10449.122542071578</v>
      </c>
      <c r="I16" s="78">
        <f t="shared" si="1"/>
        <v>1</v>
      </c>
      <c r="J16" s="86">
        <f t="shared" si="2"/>
        <v>10449.122542071578</v>
      </c>
      <c r="K16" s="79">
        <f t="shared" si="0"/>
        <v>4.6944500452440863E-2</v>
      </c>
    </row>
    <row r="17" spans="1:12" ht="30.75" customHeight="1" x14ac:dyDescent="0.4">
      <c r="A17" s="590"/>
      <c r="B17" s="77" t="s">
        <v>31</v>
      </c>
      <c r="C17" s="78">
        <f>COUNTIFS('Quadro Geral'!$E:$E,'Matriz de Obj. Estrat.'!$B17,'Quadro Geral'!$B:$B,"P")</f>
        <v>1</v>
      </c>
      <c r="D17" s="86">
        <f>SUMIFS('Quadro Geral'!$I:$I,'Quadro Geral'!$E:$E,'Matriz de Obj. Estrat.'!$B17,'Quadro Geral'!$B:$B,"P")</f>
        <v>62812</v>
      </c>
      <c r="E17" s="78">
        <f>COUNTIFS('Quadro Geral'!$E:$E,'Matriz de Obj. Estrat.'!$B17,'Quadro Geral'!$B:$B,"PE")</f>
        <v>6</v>
      </c>
      <c r="F17" s="86">
        <f>SUMIFS('Quadro Geral'!$I:$I,'Quadro Geral'!$E:$E,'Matriz de Obj. Estrat.'!$B17,'Quadro Geral'!$B:$B,"PE")</f>
        <v>994000</v>
      </c>
      <c r="G17" s="78">
        <f>COUNTIFS('Quadro Geral'!$E:$E,'Matriz de Obj. Estrat.'!$B17,'Quadro Geral'!$B:$B,"A")</f>
        <v>5</v>
      </c>
      <c r="H17" s="86">
        <f>SUMIFS('Quadro Geral'!$I:$I,'Quadro Geral'!$E:$E,'Matriz de Obj. Estrat.'!$B17,'Quadro Geral'!$B:$B,"A")</f>
        <v>2542147.2900000005</v>
      </c>
      <c r="I17" s="78">
        <f t="shared" si="1"/>
        <v>12</v>
      </c>
      <c r="J17" s="86">
        <f t="shared" si="2"/>
        <v>3598959.2900000005</v>
      </c>
      <c r="K17" s="79">
        <f t="shared" si="0"/>
        <v>16.168950582928662</v>
      </c>
    </row>
    <row r="18" spans="1:12" ht="30.75" customHeight="1" x14ac:dyDescent="0.4">
      <c r="A18" s="590"/>
      <c r="B18" s="77" t="s">
        <v>32</v>
      </c>
      <c r="C18" s="78">
        <f>COUNTIFS('Quadro Geral'!$E:$E,'Matriz de Obj. Estrat.'!$B18,'Quadro Geral'!$B:$B,"P")</f>
        <v>0</v>
      </c>
      <c r="D18" s="86">
        <f>SUMIFS('Quadro Geral'!$I:$I,'Quadro Geral'!$E:$E,'Matriz de Obj. Estrat.'!$B18,'Quadro Geral'!$B:$B,"P")</f>
        <v>0</v>
      </c>
      <c r="E18" s="78">
        <f>COUNTIFS('Quadro Geral'!$E:$E,'Matriz de Obj. Estrat.'!$B18,'Quadro Geral'!$B:$B,"PE")</f>
        <v>0</v>
      </c>
      <c r="F18" s="86">
        <f>SUMIFS('Quadro Geral'!$I:$I,'Quadro Geral'!$E:$E,'Matriz de Obj. Estrat.'!$B18,'Quadro Geral'!$B:$B,"PE")</f>
        <v>0</v>
      </c>
      <c r="G18" s="78">
        <f>COUNTIFS('Quadro Geral'!$E:$E,'Matriz de Obj. Estrat.'!$B18,'Quadro Geral'!$B:$B,"A")</f>
        <v>0</v>
      </c>
      <c r="H18" s="86">
        <f>SUMIFS('Quadro Geral'!$I:$I,'Quadro Geral'!$E:$E,'Matriz de Obj. Estrat.'!$B18,'Quadro Geral'!$B:$B,"A")</f>
        <v>0</v>
      </c>
      <c r="I18" s="78">
        <f t="shared" si="1"/>
        <v>0</v>
      </c>
      <c r="J18" s="86">
        <f t="shared" si="2"/>
        <v>0</v>
      </c>
      <c r="K18" s="79">
        <f t="shared" si="0"/>
        <v>0</v>
      </c>
    </row>
    <row r="19" spans="1:12" ht="23.4" x14ac:dyDescent="0.45">
      <c r="A19" s="591" t="s">
        <v>6</v>
      </c>
      <c r="B19" s="591"/>
      <c r="C19" s="91">
        <f>SUM(C3:C18)</f>
        <v>12</v>
      </c>
      <c r="D19" s="91">
        <f t="shared" ref="D19:J19" si="3">SUM(D3:D18)</f>
        <v>3391079.8800000004</v>
      </c>
      <c r="E19" s="91">
        <f t="shared" si="3"/>
        <v>15</v>
      </c>
      <c r="F19" s="91">
        <f t="shared" si="3"/>
        <v>2754000</v>
      </c>
      <c r="G19" s="91">
        <f t="shared" si="3"/>
        <v>29</v>
      </c>
      <c r="H19" s="91">
        <f t="shared" si="3"/>
        <v>16113379.452542074</v>
      </c>
      <c r="I19" s="91">
        <f t="shared" si="3"/>
        <v>56</v>
      </c>
      <c r="J19" s="91">
        <f t="shared" si="3"/>
        <v>22258459.332542073</v>
      </c>
      <c r="K19" s="92">
        <f>SUM(K3:K18)</f>
        <v>99.999999999999986</v>
      </c>
      <c r="L19" s="75"/>
    </row>
    <row r="20" spans="1:12" x14ac:dyDescent="0.4">
      <c r="D20" s="88"/>
      <c r="E20" s="82"/>
      <c r="F20" s="88"/>
      <c r="G20" s="83"/>
      <c r="H20" s="88"/>
      <c r="I20" s="83"/>
      <c r="J20" s="93">
        <f>'Quadro Geral'!I64</f>
        <v>22258459.332542073</v>
      </c>
    </row>
    <row r="21" spans="1:12" x14ac:dyDescent="0.4">
      <c r="C21" s="84"/>
      <c r="G21" s="84"/>
      <c r="J21" s="93" t="b">
        <f>J20=J19</f>
        <v>1</v>
      </c>
    </row>
    <row r="22" spans="1:12" hidden="1" x14ac:dyDescent="0.4">
      <c r="E22" s="85"/>
    </row>
    <row r="23" spans="1:12" hidden="1" x14ac:dyDescent="0.4">
      <c r="E23" s="85"/>
      <c r="G23" s="84"/>
    </row>
    <row r="24" spans="1:12" hidden="1" x14ac:dyDescent="0.4">
      <c r="E24" s="85"/>
    </row>
    <row r="25" spans="1:12" hidden="1" x14ac:dyDescent="0.4">
      <c r="A25" s="81"/>
      <c r="I25" s="84"/>
    </row>
    <row r="26" spans="1:12" hidden="1" x14ac:dyDescent="0.4">
      <c r="A26" s="81"/>
      <c r="G26" s="85"/>
      <c r="I26" s="84"/>
    </row>
  </sheetData>
  <mergeCells count="11">
    <mergeCell ref="A16:A18"/>
    <mergeCell ref="A19:B19"/>
    <mergeCell ref="E1:F1"/>
    <mergeCell ref="A1:A2"/>
    <mergeCell ref="B1:B2"/>
    <mergeCell ref="C1:D1"/>
    <mergeCell ref="G1:H1"/>
    <mergeCell ref="I1:J1"/>
    <mergeCell ref="K1:K2"/>
    <mergeCell ref="A3:A4"/>
    <mergeCell ref="A5:A15"/>
  </mergeCells>
  <conditionalFormatting sqref="C2:D2 G2:I2">
    <cfRule type="cellIs" dxfId="7" priority="14" operator="equal">
      <formula>"S"</formula>
    </cfRule>
    <cfRule type="cellIs" dxfId="6" priority="15" operator="equal">
      <formula>"P"</formula>
    </cfRule>
    <cfRule type="cellIs" dxfId="5" priority="16" operator="equal">
      <formula>"x"</formula>
    </cfRule>
  </conditionalFormatting>
  <conditionalFormatting sqref="E2:F2">
    <cfRule type="cellIs" dxfId="4" priority="11" operator="equal">
      <formula>"S"</formula>
    </cfRule>
    <cfRule type="cellIs" dxfId="3" priority="12" operator="equal">
      <formula>"P"</formula>
    </cfRule>
    <cfRule type="cellIs" dxfId="2" priority="13" operator="equal">
      <formula>"x"</formula>
    </cfRule>
  </conditionalFormatting>
  <conditionalFormatting sqref="J21">
    <cfRule type="cellIs" dxfId="1" priority="9" operator="equal">
      <formula>TRUE</formula>
    </cfRule>
    <cfRule type="cellIs" dxfId="0" priority="10" operator="equal">
      <formula>FALSE</formula>
    </cfRule>
  </conditionalFormatting>
  <pageMargins left="0.511811024" right="0.511811024" top="0.78740157499999996" bottom="0.78740157499999996" header="0.31496062000000002" footer="0.31496062000000002"/>
  <pageSetup scale="3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'Validação de dados'!$D$1:$D$16</xm:f>
          </x14:formula1>
          <xm:sqref>M3:M5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5">
    <tabColor rgb="FF2A5664"/>
    <pageSetUpPr fitToPage="1"/>
  </sheetPr>
  <dimension ref="A1:AA69"/>
  <sheetViews>
    <sheetView showGridLines="0" topLeftCell="D1" zoomScale="60" zoomScaleNormal="60" zoomScaleSheetLayoutView="80" workbookViewId="0">
      <selection activeCell="J73" sqref="J73"/>
    </sheetView>
  </sheetViews>
  <sheetFormatPr defaultColWidth="9.109375" defaultRowHeight="25.8" x14ac:dyDescent="0.5"/>
  <cols>
    <col min="1" max="1" width="29.88671875" style="137" bestFit="1" customWidth="1"/>
    <col min="2" max="2" width="13" style="137" bestFit="1" customWidth="1"/>
    <col min="3" max="3" width="41.6640625" style="137" customWidth="1"/>
    <col min="4" max="4" width="52.109375" style="137" customWidth="1"/>
    <col min="5" max="5" width="57" style="137" customWidth="1"/>
    <col min="6" max="6" width="31.44140625" style="137" hidden="1" customWidth="1"/>
    <col min="7" max="7" width="35.44140625" style="137" customWidth="1"/>
    <col min="8" max="8" width="28.21875" style="137" customWidth="1"/>
    <col min="9" max="9" width="33.44140625" style="137" bestFit="1" customWidth="1"/>
    <col min="10" max="10" width="27.88671875" style="137" bestFit="1" customWidth="1"/>
    <col min="11" max="11" width="18.77734375" style="137" customWidth="1"/>
    <col min="12" max="27" width="9.109375" style="137"/>
    <col min="28" max="16384" width="9.109375" style="162"/>
  </cols>
  <sheetData>
    <row r="1" spans="1:27" ht="51.75" customHeight="1" x14ac:dyDescent="0.5">
      <c r="A1" s="462" t="s">
        <v>436</v>
      </c>
      <c r="B1" s="462"/>
      <c r="C1" s="462"/>
      <c r="D1" s="462"/>
      <c r="E1" s="462"/>
      <c r="F1" s="415"/>
      <c r="G1" s="415"/>
      <c r="H1" s="415"/>
      <c r="I1" s="415"/>
      <c r="J1" s="462"/>
      <c r="K1" s="462"/>
    </row>
    <row r="2" spans="1:27" s="247" customFormat="1" x14ac:dyDescent="0.3">
      <c r="A2" s="445" t="str">
        <f>'Indicadores e Metas'!A2</f>
        <v xml:space="preserve">CAU/UF:  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</row>
    <row r="3" spans="1:27" s="247" customFormat="1" x14ac:dyDescent="0.3">
      <c r="A3" s="445" t="s">
        <v>236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</row>
    <row r="4" spans="1:27" s="189" customFormat="1" x14ac:dyDescent="0.5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</row>
    <row r="5" spans="1:27" s="247" customFormat="1" x14ac:dyDescent="0.3">
      <c r="A5" s="465" t="s">
        <v>66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</row>
    <row r="6" spans="1:27" s="247" customFormat="1" ht="52.8" customHeight="1" x14ac:dyDescent="0.3">
      <c r="A6" s="463" t="s">
        <v>4</v>
      </c>
      <c r="B6" s="455" t="s">
        <v>147</v>
      </c>
      <c r="C6" s="455" t="s">
        <v>5</v>
      </c>
      <c r="D6" s="455" t="s">
        <v>53</v>
      </c>
      <c r="E6" s="455" t="s">
        <v>34</v>
      </c>
      <c r="F6" s="455" t="s">
        <v>303</v>
      </c>
      <c r="G6" s="457" t="s">
        <v>67</v>
      </c>
      <c r="H6" s="455" t="s">
        <v>305</v>
      </c>
      <c r="I6" s="457" t="s">
        <v>304</v>
      </c>
      <c r="J6" s="456" t="s">
        <v>248</v>
      </c>
      <c r="K6" s="45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</row>
    <row r="7" spans="1:27" s="247" customFormat="1" ht="48.75" customHeight="1" x14ac:dyDescent="0.3">
      <c r="A7" s="464"/>
      <c r="B7" s="456"/>
      <c r="C7" s="456"/>
      <c r="D7" s="456"/>
      <c r="E7" s="456"/>
      <c r="F7" s="456"/>
      <c r="G7" s="455"/>
      <c r="H7" s="456"/>
      <c r="I7" s="455"/>
      <c r="J7" s="249" t="s">
        <v>306</v>
      </c>
      <c r="K7" s="249" t="s">
        <v>157</v>
      </c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</row>
    <row r="8" spans="1:27" s="247" customFormat="1" ht="79.95" customHeight="1" x14ac:dyDescent="0.3">
      <c r="A8" s="259" t="s">
        <v>446</v>
      </c>
      <c r="B8" s="260" t="s">
        <v>312</v>
      </c>
      <c r="C8" s="261" t="s">
        <v>447</v>
      </c>
      <c r="D8" s="349" t="s">
        <v>448</v>
      </c>
      <c r="E8" s="349" t="s">
        <v>28</v>
      </c>
      <c r="F8" s="349"/>
      <c r="G8" s="349" t="s">
        <v>449</v>
      </c>
      <c r="H8" s="294">
        <f>CPFi!D11</f>
        <v>36082</v>
      </c>
      <c r="I8" s="294">
        <f>CPFi!E11</f>
        <v>42190.75</v>
      </c>
      <c r="J8" s="368">
        <f>I8-H8</f>
        <v>6108.75</v>
      </c>
      <c r="K8" s="369">
        <f>IFERROR(J8/H8*100,)</f>
        <v>16.930186796740756</v>
      </c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</row>
    <row r="9" spans="1:27" s="247" customFormat="1" ht="79.95" customHeight="1" x14ac:dyDescent="0.3">
      <c r="A9" s="259" t="s">
        <v>446</v>
      </c>
      <c r="B9" s="260" t="s">
        <v>312</v>
      </c>
      <c r="C9" s="261" t="s">
        <v>450</v>
      </c>
      <c r="D9" s="349" t="s">
        <v>756</v>
      </c>
      <c r="E9" s="349" t="s">
        <v>20</v>
      </c>
      <c r="F9" s="349"/>
      <c r="G9" s="349" t="s">
        <v>451</v>
      </c>
      <c r="H9" s="294">
        <f>CPFi!D24</f>
        <v>902968.92</v>
      </c>
      <c r="I9" s="294">
        <f>CPFi!E24</f>
        <v>1177153.08</v>
      </c>
      <c r="J9" s="368">
        <f t="shared" ref="J9:J63" si="0">I9-H9</f>
        <v>274184.16000000003</v>
      </c>
      <c r="K9" s="369">
        <f t="shared" ref="K9:K63" si="1">IFERROR(J9/H9*100,)</f>
        <v>30.364739464122419</v>
      </c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</row>
    <row r="10" spans="1:27" s="247" customFormat="1" ht="79.95" customHeight="1" x14ac:dyDescent="0.3">
      <c r="A10" s="259" t="s">
        <v>446</v>
      </c>
      <c r="B10" s="260" t="s">
        <v>312</v>
      </c>
      <c r="C10" s="261" t="s">
        <v>452</v>
      </c>
      <c r="D10" s="349" t="s">
        <v>757</v>
      </c>
      <c r="E10" s="349" t="s">
        <v>112</v>
      </c>
      <c r="F10" s="349"/>
      <c r="G10" s="349" t="s">
        <v>451</v>
      </c>
      <c r="H10" s="294">
        <f>CPFi!D37</f>
        <v>131001.63999999998</v>
      </c>
      <c r="I10" s="294">
        <f>CPFi!E37</f>
        <v>140403.84</v>
      </c>
      <c r="J10" s="368">
        <f t="shared" si="0"/>
        <v>9402.2000000000116</v>
      </c>
      <c r="K10" s="369">
        <f t="shared" si="1"/>
        <v>7.1771620569025032</v>
      </c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</row>
    <row r="11" spans="1:27" s="247" customFormat="1" ht="79.95" customHeight="1" x14ac:dyDescent="0.3">
      <c r="A11" s="259" t="s">
        <v>446</v>
      </c>
      <c r="B11" s="260" t="s">
        <v>312</v>
      </c>
      <c r="C11" s="261" t="s">
        <v>453</v>
      </c>
      <c r="D11" s="349" t="s">
        <v>454</v>
      </c>
      <c r="E11" s="349" t="s">
        <v>28</v>
      </c>
      <c r="F11" s="349"/>
      <c r="G11" s="349" t="s">
        <v>758</v>
      </c>
      <c r="H11" s="294">
        <f>CPFi!D50</f>
        <v>291245.11</v>
      </c>
      <c r="I11" s="294">
        <f>CPFi!E50</f>
        <v>273150.81</v>
      </c>
      <c r="J11" s="368">
        <f t="shared" si="0"/>
        <v>-18094.299999999988</v>
      </c>
      <c r="K11" s="369">
        <f t="shared" si="1"/>
        <v>-6.2127395031628136</v>
      </c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</row>
    <row r="12" spans="1:27" s="247" customFormat="1" ht="79.95" customHeight="1" x14ac:dyDescent="0.3">
      <c r="A12" s="259" t="s">
        <v>455</v>
      </c>
      <c r="B12" s="260" t="s">
        <v>312</v>
      </c>
      <c r="C12" s="261" t="s">
        <v>456</v>
      </c>
      <c r="D12" s="349" t="s">
        <v>457</v>
      </c>
      <c r="E12" s="349" t="s">
        <v>29</v>
      </c>
      <c r="F12" s="349"/>
      <c r="G12" s="349" t="s">
        <v>458</v>
      </c>
      <c r="H12" s="294">
        <f>COA!D10</f>
        <v>18285.75</v>
      </c>
      <c r="I12" s="294">
        <f>COA!E10</f>
        <v>20323.150000000001</v>
      </c>
      <c r="J12" s="368">
        <f t="shared" si="0"/>
        <v>2037.4000000000015</v>
      </c>
      <c r="K12" s="369">
        <f t="shared" si="1"/>
        <v>11.142009488262726</v>
      </c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</row>
    <row r="13" spans="1:27" s="247" customFormat="1" ht="79.95" customHeight="1" x14ac:dyDescent="0.3">
      <c r="A13" s="259" t="s">
        <v>455</v>
      </c>
      <c r="B13" s="260" t="s">
        <v>312</v>
      </c>
      <c r="C13" s="261" t="s">
        <v>459</v>
      </c>
      <c r="D13" s="349" t="s">
        <v>460</v>
      </c>
      <c r="E13" s="349" t="s">
        <v>30</v>
      </c>
      <c r="F13" s="349"/>
      <c r="G13" s="349" t="s">
        <v>461</v>
      </c>
      <c r="H13" s="294">
        <f>COA!D23</f>
        <v>11678.72</v>
      </c>
      <c r="I13" s="294">
        <f>COA!E23</f>
        <v>10449.122542071578</v>
      </c>
      <c r="J13" s="368">
        <f t="shared" si="0"/>
        <v>-1229.5974579284211</v>
      </c>
      <c r="K13" s="369">
        <f t="shared" si="1"/>
        <v>-10.528529307393457</v>
      </c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</row>
    <row r="14" spans="1:27" s="247" customFormat="1" ht="79.95" customHeight="1" x14ac:dyDescent="0.3">
      <c r="A14" s="350" t="s">
        <v>462</v>
      </c>
      <c r="B14" s="348" t="s">
        <v>312</v>
      </c>
      <c r="C14" s="349" t="s">
        <v>463</v>
      </c>
      <c r="D14" s="349" t="s">
        <v>464</v>
      </c>
      <c r="E14" s="349" t="s">
        <v>26</v>
      </c>
      <c r="F14" s="349"/>
      <c r="G14" s="349" t="s">
        <v>465</v>
      </c>
      <c r="H14" s="294">
        <f>CED!D11</f>
        <v>32203.1</v>
      </c>
      <c r="I14" s="294">
        <f>CED!E11</f>
        <v>30675.25</v>
      </c>
      <c r="J14" s="368">
        <f t="shared" si="0"/>
        <v>-1527.8499999999985</v>
      </c>
      <c r="K14" s="369">
        <f t="shared" si="1"/>
        <v>-4.7444190155606094</v>
      </c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</row>
    <row r="15" spans="1:27" s="247" customFormat="1" ht="79.95" customHeight="1" x14ac:dyDescent="0.3">
      <c r="A15" s="350" t="s">
        <v>466</v>
      </c>
      <c r="B15" s="348" t="s">
        <v>312</v>
      </c>
      <c r="C15" s="349" t="s">
        <v>467</v>
      </c>
      <c r="D15" s="349" t="s">
        <v>468</v>
      </c>
      <c r="E15" s="349" t="s">
        <v>124</v>
      </c>
      <c r="F15" s="349"/>
      <c r="G15" s="349" t="s">
        <v>469</v>
      </c>
      <c r="H15" s="294">
        <f>CEF!D11</f>
        <v>19986.75</v>
      </c>
      <c r="I15" s="294">
        <f>CEF!E11</f>
        <v>43939.4</v>
      </c>
      <c r="J15" s="368">
        <f t="shared" si="0"/>
        <v>23952.65</v>
      </c>
      <c r="K15" s="369">
        <f t="shared" si="1"/>
        <v>119.84264575281125</v>
      </c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</row>
    <row r="16" spans="1:27" s="247" customFormat="1" ht="79.95" customHeight="1" x14ac:dyDescent="0.3">
      <c r="A16" s="350" t="s">
        <v>470</v>
      </c>
      <c r="B16" s="348" t="s">
        <v>312</v>
      </c>
      <c r="C16" s="349" t="s">
        <v>471</v>
      </c>
      <c r="D16" s="349" t="s">
        <v>472</v>
      </c>
      <c r="E16" s="349" t="s">
        <v>20</v>
      </c>
      <c r="F16" s="349"/>
      <c r="G16" s="349" t="s">
        <v>473</v>
      </c>
      <c r="H16" s="294">
        <f>CEP!D11</f>
        <v>24664.5</v>
      </c>
      <c r="I16" s="294">
        <f>CEP!E11</f>
        <v>76374.25</v>
      </c>
      <c r="J16" s="368">
        <f t="shared" si="0"/>
        <v>51709.75</v>
      </c>
      <c r="K16" s="369">
        <f t="shared" si="1"/>
        <v>209.65253704717307</v>
      </c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</row>
    <row r="17" spans="1:27" s="247" customFormat="1" ht="79.95" customHeight="1" x14ac:dyDescent="0.3">
      <c r="A17" s="259" t="s">
        <v>474</v>
      </c>
      <c r="B17" s="260" t="s">
        <v>312</v>
      </c>
      <c r="C17" s="261" t="s">
        <v>475</v>
      </c>
      <c r="D17" s="349" t="s">
        <v>476</v>
      </c>
      <c r="E17" s="349" t="s">
        <v>118</v>
      </c>
      <c r="F17" s="349"/>
      <c r="G17" s="349" t="s">
        <v>477</v>
      </c>
      <c r="H17" s="294">
        <f>CPUA!D10</f>
        <v>19986.75</v>
      </c>
      <c r="I17" s="294">
        <f>CPUA!E10</f>
        <v>20323.150000000001</v>
      </c>
      <c r="J17" s="368">
        <f t="shared" si="0"/>
        <v>336.40000000000146</v>
      </c>
      <c r="K17" s="369">
        <f t="shared" si="1"/>
        <v>1.6831150637297281</v>
      </c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</row>
    <row r="18" spans="1:27" s="247" customFormat="1" ht="79.95" customHeight="1" x14ac:dyDescent="0.3">
      <c r="A18" s="350" t="s">
        <v>478</v>
      </c>
      <c r="B18" s="348" t="s">
        <v>312</v>
      </c>
      <c r="C18" s="349" t="s">
        <v>479</v>
      </c>
      <c r="D18" s="349" t="s">
        <v>480</v>
      </c>
      <c r="E18" s="349" t="s">
        <v>22</v>
      </c>
      <c r="F18" s="349"/>
      <c r="G18" s="349" t="s">
        <v>481</v>
      </c>
      <c r="H18" s="294">
        <f>CEAU!D10</f>
        <v>26932.5</v>
      </c>
      <c r="I18" s="294">
        <f>CEAU!E10</f>
        <v>31504.400000000001</v>
      </c>
      <c r="J18" s="368">
        <f t="shared" si="0"/>
        <v>4571.9000000000015</v>
      </c>
      <c r="K18" s="369">
        <f t="shared" si="1"/>
        <v>16.975401466629542</v>
      </c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</row>
    <row r="19" spans="1:27" s="247" customFormat="1" ht="79.95" customHeight="1" x14ac:dyDescent="0.3">
      <c r="A19" s="259" t="s">
        <v>482</v>
      </c>
      <c r="B19" s="260" t="s">
        <v>312</v>
      </c>
      <c r="C19" s="261" t="s">
        <v>483</v>
      </c>
      <c r="D19" s="349" t="s">
        <v>484</v>
      </c>
      <c r="E19" s="349" t="s">
        <v>118</v>
      </c>
      <c r="F19" s="349"/>
      <c r="G19" s="349" t="s">
        <v>485</v>
      </c>
      <c r="H19" s="294">
        <f>CPC!D10</f>
        <v>19278</v>
      </c>
      <c r="I19" s="294">
        <f>CPC!E10</f>
        <v>20323.150000000001</v>
      </c>
      <c r="J19" s="368">
        <f t="shared" si="0"/>
        <v>1045.1500000000015</v>
      </c>
      <c r="K19" s="369">
        <f t="shared" si="1"/>
        <v>5.4214648822492038</v>
      </c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</row>
    <row r="20" spans="1:27" s="247" customFormat="1" ht="79.95" customHeight="1" x14ac:dyDescent="0.3">
      <c r="A20" s="259" t="s">
        <v>486</v>
      </c>
      <c r="B20" s="260" t="s">
        <v>312</v>
      </c>
      <c r="C20" s="261" t="s">
        <v>487</v>
      </c>
      <c r="D20" s="349" t="s">
        <v>488</v>
      </c>
      <c r="E20" s="349" t="s">
        <v>31</v>
      </c>
      <c r="F20" s="349"/>
      <c r="G20" s="349" t="s">
        <v>489</v>
      </c>
      <c r="H20" s="294">
        <f>Presidência!D12</f>
        <v>105908.93</v>
      </c>
      <c r="I20" s="294">
        <f>Presidência!E12</f>
        <v>159679.70000000001</v>
      </c>
      <c r="J20" s="368">
        <f t="shared" si="0"/>
        <v>53770.770000000019</v>
      </c>
      <c r="K20" s="369">
        <f t="shared" si="1"/>
        <v>50.770761256864759</v>
      </c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</row>
    <row r="21" spans="1:27" s="247" customFormat="1" ht="79.95" customHeight="1" x14ac:dyDescent="0.3">
      <c r="A21" s="259" t="s">
        <v>486</v>
      </c>
      <c r="B21" s="260" t="s">
        <v>311</v>
      </c>
      <c r="C21" s="261" t="s">
        <v>490</v>
      </c>
      <c r="D21" s="349" t="s">
        <v>491</v>
      </c>
      <c r="E21" s="349" t="s">
        <v>22</v>
      </c>
      <c r="F21" s="349"/>
      <c r="G21" s="349" t="s">
        <v>492</v>
      </c>
      <c r="H21" s="294">
        <f>Presidência!D24</f>
        <v>64809</v>
      </c>
      <c r="I21" s="294">
        <f>Presidência!E24</f>
        <v>64809</v>
      </c>
      <c r="J21" s="368">
        <f t="shared" si="0"/>
        <v>0</v>
      </c>
      <c r="K21" s="369">
        <f t="shared" si="1"/>
        <v>0</v>
      </c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</row>
    <row r="22" spans="1:27" s="247" customFormat="1" ht="79.95" customHeight="1" x14ac:dyDescent="0.3">
      <c r="A22" s="259" t="s">
        <v>486</v>
      </c>
      <c r="B22" s="260" t="s">
        <v>311</v>
      </c>
      <c r="C22" s="261" t="s">
        <v>493</v>
      </c>
      <c r="D22" s="349" t="s">
        <v>491</v>
      </c>
      <c r="E22" s="349" t="s">
        <v>22</v>
      </c>
      <c r="F22" s="349"/>
      <c r="G22" s="349" t="s">
        <v>492</v>
      </c>
      <c r="H22" s="294">
        <f>Presidência!D37</f>
        <v>129618</v>
      </c>
      <c r="I22" s="294">
        <f>Presidência!E37</f>
        <v>129618</v>
      </c>
      <c r="J22" s="368">
        <f t="shared" si="0"/>
        <v>0</v>
      </c>
      <c r="K22" s="369">
        <f t="shared" si="1"/>
        <v>0</v>
      </c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</row>
    <row r="23" spans="1:27" s="247" customFormat="1" ht="79.95" customHeight="1" x14ac:dyDescent="0.3">
      <c r="A23" s="259" t="s">
        <v>486</v>
      </c>
      <c r="B23" s="260" t="s">
        <v>311</v>
      </c>
      <c r="C23" s="261" t="s">
        <v>494</v>
      </c>
      <c r="D23" s="349" t="s">
        <v>491</v>
      </c>
      <c r="E23" s="349" t="s">
        <v>22</v>
      </c>
      <c r="F23" s="349"/>
      <c r="G23" s="349" t="s">
        <v>492</v>
      </c>
      <c r="H23" s="294">
        <f>Presidência!D50</f>
        <v>74190</v>
      </c>
      <c r="I23" s="294">
        <f>Presidência!E50</f>
        <v>74190</v>
      </c>
      <c r="J23" s="368">
        <f t="shared" si="0"/>
        <v>0</v>
      </c>
      <c r="K23" s="369">
        <f t="shared" si="1"/>
        <v>0</v>
      </c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</row>
    <row r="24" spans="1:27" s="247" customFormat="1" ht="79.95" customHeight="1" x14ac:dyDescent="0.3">
      <c r="A24" s="350" t="s">
        <v>486</v>
      </c>
      <c r="B24" s="348" t="s">
        <v>313</v>
      </c>
      <c r="C24" s="349" t="s">
        <v>496</v>
      </c>
      <c r="D24" s="598" t="s">
        <v>497</v>
      </c>
      <c r="E24" s="598" t="s">
        <v>22</v>
      </c>
      <c r="F24" s="598"/>
      <c r="G24" s="598" t="s">
        <v>492</v>
      </c>
      <c r="H24" s="294">
        <f>Presidência!D63</f>
        <v>300000</v>
      </c>
      <c r="I24" s="294">
        <v>0</v>
      </c>
      <c r="J24" s="368">
        <f t="shared" si="0"/>
        <v>-300000</v>
      </c>
      <c r="K24" s="369">
        <f t="shared" si="1"/>
        <v>-100</v>
      </c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</row>
    <row r="25" spans="1:27" s="247" customFormat="1" ht="79.95" customHeight="1" x14ac:dyDescent="0.3">
      <c r="A25" s="259" t="s">
        <v>486</v>
      </c>
      <c r="B25" s="260" t="s">
        <v>313</v>
      </c>
      <c r="C25" s="261" t="s">
        <v>122</v>
      </c>
      <c r="D25" s="598" t="s">
        <v>498</v>
      </c>
      <c r="E25" s="598" t="s">
        <v>27</v>
      </c>
      <c r="F25" s="598"/>
      <c r="G25" s="598" t="s">
        <v>499</v>
      </c>
      <c r="H25" s="294">
        <f>Presidência!D76</f>
        <v>300000</v>
      </c>
      <c r="I25" s="294">
        <f>Presidência!E76</f>
        <v>0</v>
      </c>
      <c r="J25" s="368">
        <f t="shared" si="0"/>
        <v>-300000</v>
      </c>
      <c r="K25" s="369">
        <f t="shared" si="1"/>
        <v>-100</v>
      </c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</row>
    <row r="26" spans="1:27" s="247" customFormat="1" ht="79.95" customHeight="1" x14ac:dyDescent="0.3">
      <c r="A26" s="262" t="s">
        <v>486</v>
      </c>
      <c r="B26" s="348" t="s">
        <v>313</v>
      </c>
      <c r="C26" s="349" t="s">
        <v>500</v>
      </c>
      <c r="D26" s="349" t="s">
        <v>491</v>
      </c>
      <c r="E26" s="349" t="s">
        <v>22</v>
      </c>
      <c r="F26" s="349"/>
      <c r="G26" s="349" t="s">
        <v>501</v>
      </c>
      <c r="H26" s="294">
        <f>Presidência!D89</f>
        <v>400000</v>
      </c>
      <c r="I26" s="294">
        <f>Presidência!E89</f>
        <v>400000</v>
      </c>
      <c r="J26" s="368">
        <f t="shared" si="0"/>
        <v>0</v>
      </c>
      <c r="K26" s="369">
        <f t="shared" si="1"/>
        <v>0</v>
      </c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</row>
    <row r="27" spans="1:27" s="247" customFormat="1" ht="79.95" customHeight="1" x14ac:dyDescent="0.3">
      <c r="A27" s="262" t="s">
        <v>486</v>
      </c>
      <c r="B27" s="348" t="s">
        <v>313</v>
      </c>
      <c r="C27" s="349" t="s">
        <v>502</v>
      </c>
      <c r="D27" s="598" t="s">
        <v>503</v>
      </c>
      <c r="E27" s="598" t="s">
        <v>112</v>
      </c>
      <c r="F27" s="598"/>
      <c r="G27" s="598" t="s">
        <v>492</v>
      </c>
      <c r="H27" s="294">
        <f>Presidência!D102</f>
        <v>100000</v>
      </c>
      <c r="I27" s="294">
        <v>0</v>
      </c>
      <c r="J27" s="368">
        <f t="shared" si="0"/>
        <v>-100000</v>
      </c>
      <c r="K27" s="369">
        <f t="shared" si="1"/>
        <v>-100</v>
      </c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</row>
    <row r="28" spans="1:27" s="247" customFormat="1" ht="79.95" customHeight="1" x14ac:dyDescent="0.3">
      <c r="A28" s="259" t="s">
        <v>486</v>
      </c>
      <c r="B28" s="260" t="s">
        <v>312</v>
      </c>
      <c r="C28" s="261" t="s">
        <v>504</v>
      </c>
      <c r="D28" s="598" t="s">
        <v>505</v>
      </c>
      <c r="E28" s="598" t="s">
        <v>22</v>
      </c>
      <c r="F28" s="598"/>
      <c r="G28" s="598" t="s">
        <v>492</v>
      </c>
      <c r="H28" s="294">
        <f>Presidência!D115</f>
        <v>44948.82</v>
      </c>
      <c r="I28" s="294">
        <f>Presidência!E115</f>
        <v>0</v>
      </c>
      <c r="J28" s="368">
        <f t="shared" si="0"/>
        <v>-44948.82</v>
      </c>
      <c r="K28" s="369">
        <f t="shared" si="1"/>
        <v>-100</v>
      </c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</row>
    <row r="29" spans="1:27" s="247" customFormat="1" ht="79.95" customHeight="1" x14ac:dyDescent="0.3">
      <c r="A29" s="259" t="s">
        <v>486</v>
      </c>
      <c r="B29" s="260" t="s">
        <v>313</v>
      </c>
      <c r="C29" s="261" t="s">
        <v>506</v>
      </c>
      <c r="D29" s="598" t="s">
        <v>498</v>
      </c>
      <c r="E29" s="598" t="s">
        <v>27</v>
      </c>
      <c r="F29" s="598"/>
      <c r="G29" s="598" t="s">
        <v>492</v>
      </c>
      <c r="H29" s="294">
        <f>Presidência!D128</f>
        <v>700000</v>
      </c>
      <c r="I29" s="294">
        <f>Presidência!E128</f>
        <v>0</v>
      </c>
      <c r="J29" s="368">
        <f t="shared" si="0"/>
        <v>-700000</v>
      </c>
      <c r="K29" s="369">
        <f t="shared" si="1"/>
        <v>-100</v>
      </c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</row>
    <row r="30" spans="1:27" s="247" customFormat="1" ht="79.95" customHeight="1" x14ac:dyDescent="0.3">
      <c r="A30" s="350" t="s">
        <v>486</v>
      </c>
      <c r="B30" s="348" t="s">
        <v>313</v>
      </c>
      <c r="C30" s="349" t="s">
        <v>736</v>
      </c>
      <c r="D30" s="349" t="s">
        <v>759</v>
      </c>
      <c r="E30" s="349" t="s">
        <v>31</v>
      </c>
      <c r="F30" s="349"/>
      <c r="G30" s="349" t="s">
        <v>760</v>
      </c>
      <c r="H30" s="294">
        <f>Presidência!D141</f>
        <v>0</v>
      </c>
      <c r="I30" s="294">
        <f>Presidência!E141</f>
        <v>150000</v>
      </c>
      <c r="J30" s="368">
        <f t="shared" si="0"/>
        <v>150000</v>
      </c>
      <c r="K30" s="369">
        <f t="shared" si="1"/>
        <v>0</v>
      </c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</row>
    <row r="31" spans="1:27" s="247" customFormat="1" ht="79.95" customHeight="1" x14ac:dyDescent="0.3">
      <c r="A31" s="259" t="s">
        <v>507</v>
      </c>
      <c r="B31" s="260" t="s">
        <v>312</v>
      </c>
      <c r="C31" s="261" t="s">
        <v>508</v>
      </c>
      <c r="D31" s="349" t="s">
        <v>509</v>
      </c>
      <c r="E31" s="349" t="s">
        <v>118</v>
      </c>
      <c r="F31" s="349"/>
      <c r="G31" s="349" t="s">
        <v>489</v>
      </c>
      <c r="H31" s="294">
        <f>'Gabinete da Presidência'!D12</f>
        <v>499903.93999999994</v>
      </c>
      <c r="I31" s="294">
        <f>'Gabinete da Presidência'!E12</f>
        <v>705373.25999999989</v>
      </c>
      <c r="J31" s="368">
        <f t="shared" si="0"/>
        <v>205469.31999999995</v>
      </c>
      <c r="K31" s="369">
        <f t="shared" si="1"/>
        <v>41.101760470221535</v>
      </c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</row>
    <row r="32" spans="1:27" s="247" customFormat="1" ht="79.95" customHeight="1" x14ac:dyDescent="0.3">
      <c r="A32" s="259" t="s">
        <v>507</v>
      </c>
      <c r="B32" s="260" t="s">
        <v>311</v>
      </c>
      <c r="C32" s="261" t="s">
        <v>510</v>
      </c>
      <c r="D32" s="349" t="s">
        <v>498</v>
      </c>
      <c r="E32" s="349" t="s">
        <v>27</v>
      </c>
      <c r="F32" s="349"/>
      <c r="G32" s="349" t="s">
        <v>499</v>
      </c>
      <c r="H32" s="294">
        <f>'Gabinete da Presidência'!D26</f>
        <v>210702.12</v>
      </c>
      <c r="I32" s="294">
        <f>'Gabinete da Presidência'!E26</f>
        <v>214066.68</v>
      </c>
      <c r="J32" s="368">
        <f t="shared" si="0"/>
        <v>3364.5599999999977</v>
      </c>
      <c r="K32" s="369">
        <f t="shared" si="1"/>
        <v>1.5968325330566195</v>
      </c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</row>
    <row r="33" spans="1:27" s="247" customFormat="1" ht="79.95" customHeight="1" x14ac:dyDescent="0.3">
      <c r="A33" s="350" t="s">
        <v>507</v>
      </c>
      <c r="B33" s="348" t="s">
        <v>313</v>
      </c>
      <c r="C33" s="349" t="s">
        <v>122</v>
      </c>
      <c r="D33" s="349" t="s">
        <v>498</v>
      </c>
      <c r="E33" s="349" t="s">
        <v>27</v>
      </c>
      <c r="F33" s="349"/>
      <c r="G33" s="349" t="s">
        <v>499</v>
      </c>
      <c r="H33" s="294">
        <f>'Gabinete da Presidência'!D39</f>
        <v>0</v>
      </c>
      <c r="I33" s="294">
        <f>'Gabinete da Presidência'!E39</f>
        <v>200000</v>
      </c>
      <c r="J33" s="368">
        <f t="shared" si="0"/>
        <v>200000</v>
      </c>
      <c r="K33" s="369">
        <f t="shared" si="1"/>
        <v>0</v>
      </c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</row>
    <row r="34" spans="1:27" s="247" customFormat="1" ht="79.95" customHeight="1" x14ac:dyDescent="0.3">
      <c r="A34" s="350" t="s">
        <v>507</v>
      </c>
      <c r="B34" s="348" t="s">
        <v>313</v>
      </c>
      <c r="C34" s="349" t="s">
        <v>674</v>
      </c>
      <c r="D34" s="349" t="s">
        <v>491</v>
      </c>
      <c r="E34" s="349" t="s">
        <v>22</v>
      </c>
      <c r="F34" s="349"/>
      <c r="G34" s="349" t="s">
        <v>492</v>
      </c>
      <c r="H34" s="294">
        <f>'Gabinete da Presidência'!D52</f>
        <v>0</v>
      </c>
      <c r="I34" s="294">
        <v>430000</v>
      </c>
      <c r="J34" s="368">
        <f t="shared" si="0"/>
        <v>430000</v>
      </c>
      <c r="K34" s="369">
        <f t="shared" si="1"/>
        <v>0</v>
      </c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</row>
    <row r="35" spans="1:27" s="247" customFormat="1" ht="79.95" customHeight="1" x14ac:dyDescent="0.3">
      <c r="A35" s="350" t="s">
        <v>507</v>
      </c>
      <c r="B35" s="348" t="s">
        <v>313</v>
      </c>
      <c r="C35" s="349" t="s">
        <v>676</v>
      </c>
      <c r="D35" s="349" t="s">
        <v>498</v>
      </c>
      <c r="E35" s="349" t="s">
        <v>27</v>
      </c>
      <c r="F35" s="349"/>
      <c r="G35" s="349" t="s">
        <v>499</v>
      </c>
      <c r="H35" s="294">
        <f>'Gabinete da Presidência'!D65</f>
        <v>0</v>
      </c>
      <c r="I35" s="294">
        <f>'Gabinete da Presidência'!E65</f>
        <v>500000</v>
      </c>
      <c r="J35" s="368">
        <f t="shared" si="0"/>
        <v>500000</v>
      </c>
      <c r="K35" s="369">
        <f t="shared" si="1"/>
        <v>0</v>
      </c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</row>
    <row r="36" spans="1:27" s="247" customFormat="1" ht="79.95" customHeight="1" x14ac:dyDescent="0.3">
      <c r="A36" s="350" t="s">
        <v>511</v>
      </c>
      <c r="B36" s="348" t="s">
        <v>311</v>
      </c>
      <c r="C36" s="349" t="s">
        <v>512</v>
      </c>
      <c r="D36" s="349" t="s">
        <v>503</v>
      </c>
      <c r="E36" s="349" t="s">
        <v>112</v>
      </c>
      <c r="F36" s="349"/>
      <c r="G36" s="349" t="s">
        <v>499</v>
      </c>
      <c r="H36" s="294">
        <f>'Secretaria Geral da Mesa'!D68</f>
        <v>51700.5</v>
      </c>
      <c r="I36" s="294">
        <f>'Secretaria Geral da Mesa'!E68</f>
        <v>124500</v>
      </c>
      <c r="J36" s="368">
        <f t="shared" si="0"/>
        <v>72799.5</v>
      </c>
      <c r="K36" s="369">
        <f t="shared" si="1"/>
        <v>140.81005019293818</v>
      </c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</row>
    <row r="37" spans="1:27" s="247" customFormat="1" ht="79.95" customHeight="1" x14ac:dyDescent="0.3">
      <c r="A37" s="350" t="s">
        <v>511</v>
      </c>
      <c r="B37" s="348" t="s">
        <v>312</v>
      </c>
      <c r="C37" s="349" t="s">
        <v>513</v>
      </c>
      <c r="D37" s="349" t="s">
        <v>497</v>
      </c>
      <c r="E37" s="349" t="s">
        <v>25</v>
      </c>
      <c r="F37" s="349"/>
      <c r="G37" s="349" t="s">
        <v>492</v>
      </c>
      <c r="H37" s="294">
        <f>'Secretaria Geral da Mesa'!D84</f>
        <v>184377.07</v>
      </c>
      <c r="I37" s="294">
        <f>'Secretaria Geral da Mesa'!E84</f>
        <v>11920</v>
      </c>
      <c r="J37" s="368">
        <f t="shared" si="0"/>
        <v>-172457.07</v>
      </c>
      <c r="K37" s="369">
        <f t="shared" si="1"/>
        <v>-93.534987837695866</v>
      </c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</row>
    <row r="38" spans="1:27" s="247" customFormat="1" ht="79.95" customHeight="1" x14ac:dyDescent="0.3">
      <c r="A38" s="350" t="s">
        <v>511</v>
      </c>
      <c r="B38" s="348" t="s">
        <v>312</v>
      </c>
      <c r="C38" s="349" t="s">
        <v>514</v>
      </c>
      <c r="D38" s="349" t="s">
        <v>517</v>
      </c>
      <c r="E38" s="349" t="s">
        <v>31</v>
      </c>
      <c r="F38" s="349"/>
      <c r="G38" s="349" t="s">
        <v>489</v>
      </c>
      <c r="H38" s="294">
        <f>'Secretaria Geral da Mesa'!D16</f>
        <v>1178209.07</v>
      </c>
      <c r="I38" s="294">
        <f>'Secretaria Geral da Mesa'!E16</f>
        <v>1660042.87</v>
      </c>
      <c r="J38" s="368">
        <f t="shared" si="0"/>
        <v>481833.80000000005</v>
      </c>
      <c r="K38" s="369">
        <f t="shared" si="1"/>
        <v>40.895441417710359</v>
      </c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</row>
    <row r="39" spans="1:27" s="247" customFormat="1" ht="79.95" customHeight="1" x14ac:dyDescent="0.3">
      <c r="A39" s="350" t="s">
        <v>511</v>
      </c>
      <c r="B39" s="348" t="s">
        <v>312</v>
      </c>
      <c r="C39" s="349" t="s">
        <v>516</v>
      </c>
      <c r="D39" s="349" t="s">
        <v>517</v>
      </c>
      <c r="E39" s="349" t="s">
        <v>31</v>
      </c>
      <c r="F39" s="349"/>
      <c r="G39" s="349" t="s">
        <v>489</v>
      </c>
      <c r="H39" s="294">
        <f>'Secretaria Geral da Mesa'!D39</f>
        <v>193512</v>
      </c>
      <c r="I39" s="294">
        <f>'Secretaria Geral da Mesa'!E39</f>
        <v>605252</v>
      </c>
      <c r="J39" s="368">
        <f t="shared" si="0"/>
        <v>411740</v>
      </c>
      <c r="K39" s="369">
        <f t="shared" si="1"/>
        <v>212.77233453222539</v>
      </c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</row>
    <row r="40" spans="1:27" s="247" customFormat="1" ht="79.95" customHeight="1" x14ac:dyDescent="0.3">
      <c r="A40" s="350" t="s">
        <v>511</v>
      </c>
      <c r="B40" s="348" t="s">
        <v>312</v>
      </c>
      <c r="C40" s="349" t="s">
        <v>518</v>
      </c>
      <c r="D40" s="598" t="s">
        <v>495</v>
      </c>
      <c r="E40" s="598" t="s">
        <v>31</v>
      </c>
      <c r="F40" s="598"/>
      <c r="G40" s="598" t="s">
        <v>519</v>
      </c>
      <c r="H40" s="294">
        <f>'Secretaria Geral da Mesa'!D52</f>
        <v>45934</v>
      </c>
      <c r="I40" s="294">
        <f>'Secretaria Geral da Mesa'!E52</f>
        <v>0</v>
      </c>
      <c r="J40" s="368">
        <f t="shared" si="0"/>
        <v>-45934</v>
      </c>
      <c r="K40" s="369">
        <f t="shared" si="1"/>
        <v>-100</v>
      </c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</row>
    <row r="41" spans="1:27" s="247" customFormat="1" ht="79.95" customHeight="1" x14ac:dyDescent="0.3">
      <c r="A41" s="350" t="s">
        <v>511</v>
      </c>
      <c r="B41" s="348" t="s">
        <v>313</v>
      </c>
      <c r="C41" s="349" t="s">
        <v>701</v>
      </c>
      <c r="D41" s="349" t="s">
        <v>503</v>
      </c>
      <c r="E41" s="349" t="s">
        <v>31</v>
      </c>
      <c r="F41" s="349"/>
      <c r="G41" s="349" t="s">
        <v>492</v>
      </c>
      <c r="H41" s="294">
        <f>'Secretaria Geral da Mesa'!D97</f>
        <v>0</v>
      </c>
      <c r="I41" s="294">
        <f>'Secretaria Geral da Mesa'!E97</f>
        <v>150000</v>
      </c>
      <c r="J41" s="368">
        <f t="shared" si="0"/>
        <v>150000</v>
      </c>
      <c r="K41" s="369">
        <f t="shared" si="1"/>
        <v>0</v>
      </c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</row>
    <row r="42" spans="1:27" s="247" customFormat="1" ht="79.95" customHeight="1" x14ac:dyDescent="0.3">
      <c r="A42" s="350" t="s">
        <v>511</v>
      </c>
      <c r="B42" s="348" t="s">
        <v>313</v>
      </c>
      <c r="C42" s="349" t="s">
        <v>702</v>
      </c>
      <c r="D42" s="349" t="s">
        <v>515</v>
      </c>
      <c r="E42" s="349" t="s">
        <v>31</v>
      </c>
      <c r="F42" s="349"/>
      <c r="G42" s="349" t="s">
        <v>492</v>
      </c>
      <c r="H42" s="294">
        <f>'Secretaria Geral da Mesa'!D110</f>
        <v>0</v>
      </c>
      <c r="I42" s="294">
        <f>'Secretaria Geral da Mesa'!E110</f>
        <v>120000</v>
      </c>
      <c r="J42" s="368">
        <f t="shared" si="0"/>
        <v>120000</v>
      </c>
      <c r="K42" s="369">
        <f t="shared" si="1"/>
        <v>0</v>
      </c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</row>
    <row r="43" spans="1:27" s="247" customFormat="1" ht="79.95" customHeight="1" x14ac:dyDescent="0.3">
      <c r="A43" s="350" t="s">
        <v>511</v>
      </c>
      <c r="B43" s="348" t="s">
        <v>313</v>
      </c>
      <c r="C43" s="349" t="s">
        <v>746</v>
      </c>
      <c r="D43" s="349" t="s">
        <v>495</v>
      </c>
      <c r="E43" s="349" t="s">
        <v>31</v>
      </c>
      <c r="F43" s="349"/>
      <c r="G43" s="349" t="s">
        <v>492</v>
      </c>
      <c r="H43" s="294">
        <f>'Secretaria Geral da Mesa'!D123</f>
        <v>0</v>
      </c>
      <c r="I43" s="294">
        <f>'Secretaria Geral da Mesa'!E123</f>
        <v>54000</v>
      </c>
      <c r="J43" s="368">
        <f t="shared" ref="J43:J45" si="2">I43-H43</f>
        <v>54000</v>
      </c>
      <c r="K43" s="369">
        <f t="shared" ref="K43:K45" si="3">IFERROR(J43/H43*100,)</f>
        <v>0</v>
      </c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</row>
    <row r="44" spans="1:27" s="247" customFormat="1" ht="79.95" customHeight="1" x14ac:dyDescent="0.3">
      <c r="A44" s="350" t="s">
        <v>511</v>
      </c>
      <c r="B44" s="348" t="s">
        <v>311</v>
      </c>
      <c r="C44" s="349" t="s">
        <v>739</v>
      </c>
      <c r="D44" s="349" t="s">
        <v>503</v>
      </c>
      <c r="E44" s="349" t="s">
        <v>31</v>
      </c>
      <c r="F44" s="349"/>
      <c r="G44" s="349" t="s">
        <v>492</v>
      </c>
      <c r="H44" s="294">
        <v>0</v>
      </c>
      <c r="I44" s="294">
        <f>'Secretaria Geral da Mesa'!E136</f>
        <v>62812</v>
      </c>
      <c r="J44" s="368">
        <f t="shared" si="2"/>
        <v>62812</v>
      </c>
      <c r="K44" s="369">
        <f t="shared" si="3"/>
        <v>0</v>
      </c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</row>
    <row r="45" spans="1:27" s="247" customFormat="1" ht="79.95" customHeight="1" x14ac:dyDescent="0.3">
      <c r="A45" s="350" t="s">
        <v>511</v>
      </c>
      <c r="B45" s="348" t="s">
        <v>312</v>
      </c>
      <c r="C45" s="349" t="s">
        <v>754</v>
      </c>
      <c r="D45" s="349" t="s">
        <v>497</v>
      </c>
      <c r="E45" s="349" t="s">
        <v>31</v>
      </c>
      <c r="F45" s="349"/>
      <c r="G45" s="349" t="s">
        <v>492</v>
      </c>
      <c r="H45" s="294">
        <v>0</v>
      </c>
      <c r="I45" s="294">
        <f>'Secretaria Geral da Mesa'!E151</f>
        <v>117172.72</v>
      </c>
      <c r="J45" s="368">
        <f t="shared" si="2"/>
        <v>117172.72</v>
      </c>
      <c r="K45" s="369">
        <f t="shared" si="3"/>
        <v>0</v>
      </c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</row>
    <row r="46" spans="1:27" s="247" customFormat="1" ht="79.95" customHeight="1" x14ac:dyDescent="0.3">
      <c r="A46" s="350" t="s">
        <v>511</v>
      </c>
      <c r="B46" s="348" t="s">
        <v>313</v>
      </c>
      <c r="C46" s="349" t="s">
        <v>752</v>
      </c>
      <c r="D46" s="349" t="s">
        <v>497</v>
      </c>
      <c r="E46" s="349" t="s">
        <v>31</v>
      </c>
      <c r="F46" s="349"/>
      <c r="G46" s="349" t="s">
        <v>492</v>
      </c>
      <c r="H46" s="294">
        <v>0</v>
      </c>
      <c r="I46" s="294">
        <f>'Secretaria Geral da Mesa'!E164</f>
        <v>400000</v>
      </c>
      <c r="J46" s="368">
        <f t="shared" ref="J46" si="4">I46-H46</f>
        <v>400000</v>
      </c>
      <c r="K46" s="369">
        <f t="shared" ref="K46" si="5">IFERROR(J46/H46*100,)</f>
        <v>0</v>
      </c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</row>
    <row r="47" spans="1:27" s="247" customFormat="1" ht="79.95" customHeight="1" x14ac:dyDescent="0.3">
      <c r="A47" s="350" t="s">
        <v>511</v>
      </c>
      <c r="B47" s="348" t="s">
        <v>313</v>
      </c>
      <c r="C47" s="349" t="s">
        <v>753</v>
      </c>
      <c r="D47" s="349" t="s">
        <v>497</v>
      </c>
      <c r="E47" s="349" t="s">
        <v>31</v>
      </c>
      <c r="F47" s="349"/>
      <c r="G47" s="349" t="s">
        <v>492</v>
      </c>
      <c r="H47" s="294">
        <v>0</v>
      </c>
      <c r="I47" s="294">
        <f>'Secretaria Geral da Mesa'!E177</f>
        <v>120000</v>
      </c>
      <c r="J47" s="368">
        <f t="shared" ref="J47" si="6">I47-H47</f>
        <v>120000</v>
      </c>
      <c r="K47" s="369">
        <f t="shared" ref="K47" si="7">IFERROR(J47/H47*100,)</f>
        <v>0</v>
      </c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</row>
    <row r="48" spans="1:27" s="247" customFormat="1" ht="79.95" customHeight="1" x14ac:dyDescent="0.3">
      <c r="A48" s="350" t="s">
        <v>521</v>
      </c>
      <c r="B48" s="348" t="s">
        <v>312</v>
      </c>
      <c r="C48" s="349" t="s">
        <v>522</v>
      </c>
      <c r="D48" s="349" t="s">
        <v>523</v>
      </c>
      <c r="E48" s="349" t="s">
        <v>29</v>
      </c>
      <c r="F48" s="349"/>
      <c r="G48" s="349" t="s">
        <v>524</v>
      </c>
      <c r="H48" s="294">
        <f>'Gerência Geral'!D12</f>
        <v>530559.36</v>
      </c>
      <c r="I48" s="294">
        <f>'Gerência Geral'!E12</f>
        <v>690209.48</v>
      </c>
      <c r="J48" s="368">
        <f t="shared" si="0"/>
        <v>159650.12</v>
      </c>
      <c r="K48" s="369">
        <f t="shared" si="1"/>
        <v>30.090906321961786</v>
      </c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</row>
    <row r="49" spans="1:27" s="247" customFormat="1" ht="79.95" customHeight="1" x14ac:dyDescent="0.3">
      <c r="A49" s="350" t="s">
        <v>525</v>
      </c>
      <c r="B49" s="348" t="s">
        <v>312</v>
      </c>
      <c r="C49" s="349" t="s">
        <v>526</v>
      </c>
      <c r="D49" s="598" t="s">
        <v>495</v>
      </c>
      <c r="E49" s="598" t="s">
        <v>29</v>
      </c>
      <c r="F49" s="598"/>
      <c r="G49" s="598" t="s">
        <v>527</v>
      </c>
      <c r="H49" s="294">
        <f>'Gerência Administrativa'!D40</f>
        <v>1775640.7</v>
      </c>
      <c r="I49" s="294">
        <f>'Gerência Administrativa'!E40</f>
        <v>0</v>
      </c>
      <c r="J49" s="368">
        <f t="shared" si="0"/>
        <v>-1775640.7</v>
      </c>
      <c r="K49" s="369">
        <f t="shared" si="1"/>
        <v>-100</v>
      </c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</row>
    <row r="50" spans="1:27" s="247" customFormat="1" ht="79.95" customHeight="1" x14ac:dyDescent="0.3">
      <c r="A50" s="350" t="s">
        <v>525</v>
      </c>
      <c r="B50" s="348" t="s">
        <v>311</v>
      </c>
      <c r="C50" s="349" t="s">
        <v>528</v>
      </c>
      <c r="D50" s="598" t="s">
        <v>520</v>
      </c>
      <c r="E50" s="598" t="s">
        <v>112</v>
      </c>
      <c r="F50" s="598"/>
      <c r="G50" s="598" t="s">
        <v>529</v>
      </c>
      <c r="H50" s="294">
        <f>'Gerência Administrativa'!D54</f>
        <v>950000</v>
      </c>
      <c r="I50" s="294">
        <f>'Gerência Administrativa'!E54</f>
        <v>0</v>
      </c>
      <c r="J50" s="368">
        <f t="shared" si="0"/>
        <v>-950000</v>
      </c>
      <c r="K50" s="369">
        <f t="shared" si="1"/>
        <v>-100</v>
      </c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</row>
    <row r="51" spans="1:27" s="247" customFormat="1" ht="79.95" customHeight="1" x14ac:dyDescent="0.3">
      <c r="A51" s="350" t="s">
        <v>530</v>
      </c>
      <c r="B51" s="348" t="s">
        <v>312</v>
      </c>
      <c r="C51" s="349" t="s">
        <v>531</v>
      </c>
      <c r="D51" s="349" t="s">
        <v>532</v>
      </c>
      <c r="E51" s="349" t="s">
        <v>20</v>
      </c>
      <c r="F51" s="349"/>
      <c r="G51" s="349" t="s">
        <v>533</v>
      </c>
      <c r="H51" s="294">
        <f>'Gerência de Fiscalização'!D23</f>
        <v>1923906.2903999998</v>
      </c>
      <c r="I51" s="294">
        <f>'Gerência de Fiscalização'!E23</f>
        <v>3279452.7800000003</v>
      </c>
      <c r="J51" s="368">
        <f t="shared" si="0"/>
        <v>1355546.4896000004</v>
      </c>
      <c r="K51" s="369">
        <f t="shared" si="1"/>
        <v>70.458030953169157</v>
      </c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</row>
    <row r="52" spans="1:27" s="247" customFormat="1" ht="79.95" customHeight="1" x14ac:dyDescent="0.3">
      <c r="A52" s="350" t="s">
        <v>530</v>
      </c>
      <c r="B52" s="348" t="s">
        <v>311</v>
      </c>
      <c r="C52" s="349" t="s">
        <v>534</v>
      </c>
      <c r="D52" s="349" t="s">
        <v>535</v>
      </c>
      <c r="E52" s="349" t="s">
        <v>20</v>
      </c>
      <c r="F52" s="349"/>
      <c r="G52" s="349" t="s">
        <v>536</v>
      </c>
      <c r="H52" s="294">
        <f>'Gerência de Fiscalização'!D50</f>
        <v>361442.87730000005</v>
      </c>
      <c r="I52" s="294">
        <f>'Gerência de Fiscalização'!E50</f>
        <v>454476.31999999995</v>
      </c>
      <c r="J52" s="368">
        <f t="shared" si="0"/>
        <v>93033.442699999898</v>
      </c>
      <c r="K52" s="369">
        <f t="shared" si="1"/>
        <v>25.739459411945059</v>
      </c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</row>
    <row r="53" spans="1:27" s="247" customFormat="1" ht="79.95" customHeight="1" x14ac:dyDescent="0.3">
      <c r="A53" s="259" t="s">
        <v>530</v>
      </c>
      <c r="B53" s="260" t="s">
        <v>311</v>
      </c>
      <c r="C53" s="261" t="s">
        <v>537</v>
      </c>
      <c r="D53" s="349" t="s">
        <v>535</v>
      </c>
      <c r="E53" s="349" t="s">
        <v>20</v>
      </c>
      <c r="F53" s="349"/>
      <c r="G53" s="349" t="s">
        <v>536</v>
      </c>
      <c r="H53" s="294">
        <f>'Gerência de Fiscalização'!D78</f>
        <v>388534.83249999996</v>
      </c>
      <c r="I53" s="294">
        <f>'Gerência de Fiscalização'!E78</f>
        <v>477174.52</v>
      </c>
      <c r="J53" s="368">
        <f t="shared" si="0"/>
        <v>88639.687500000058</v>
      </c>
      <c r="K53" s="369">
        <f t="shared" si="1"/>
        <v>22.813832914195682</v>
      </c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</row>
    <row r="54" spans="1:27" s="247" customFormat="1" ht="79.95" customHeight="1" x14ac:dyDescent="0.3">
      <c r="A54" s="259" t="s">
        <v>530</v>
      </c>
      <c r="B54" s="260" t="s">
        <v>311</v>
      </c>
      <c r="C54" s="261" t="s">
        <v>538</v>
      </c>
      <c r="D54" s="349" t="s">
        <v>535</v>
      </c>
      <c r="E54" s="349" t="s">
        <v>20</v>
      </c>
      <c r="F54" s="349"/>
      <c r="G54" s="349" t="s">
        <v>536</v>
      </c>
      <c r="H54" s="294">
        <f>'Gerência de Fiscalização'!D107</f>
        <v>322201.43599999999</v>
      </c>
      <c r="I54" s="294">
        <f>'Gerência de Fiscalização'!E107</f>
        <v>461550.07999999996</v>
      </c>
      <c r="J54" s="368">
        <f t="shared" si="0"/>
        <v>139348.64399999997</v>
      </c>
      <c r="K54" s="369">
        <f t="shared" si="1"/>
        <v>43.248920839694819</v>
      </c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</row>
    <row r="55" spans="1:27" s="247" customFormat="1" ht="79.95" customHeight="1" x14ac:dyDescent="0.3">
      <c r="A55" s="259" t="s">
        <v>530</v>
      </c>
      <c r="B55" s="260" t="s">
        <v>311</v>
      </c>
      <c r="C55" s="261" t="s">
        <v>539</v>
      </c>
      <c r="D55" s="349" t="s">
        <v>535</v>
      </c>
      <c r="E55" s="349" t="s">
        <v>20</v>
      </c>
      <c r="F55" s="349"/>
      <c r="G55" s="349" t="s">
        <v>536</v>
      </c>
      <c r="H55" s="294">
        <f>'Gerência de Fiscalização'!D135</f>
        <v>305253.09799999994</v>
      </c>
      <c r="I55" s="294">
        <f>'Gerência de Fiscalização'!E135</f>
        <v>377883.27999999997</v>
      </c>
      <c r="J55" s="368">
        <f t="shared" si="0"/>
        <v>72630.18200000003</v>
      </c>
      <c r="K55" s="369">
        <f t="shared" si="1"/>
        <v>23.793429935967445</v>
      </c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</row>
    <row r="56" spans="1:27" s="247" customFormat="1" ht="79.95" customHeight="1" x14ac:dyDescent="0.3">
      <c r="A56" s="350" t="s">
        <v>530</v>
      </c>
      <c r="B56" s="348" t="s">
        <v>311</v>
      </c>
      <c r="C56" s="349" t="s">
        <v>528</v>
      </c>
      <c r="D56" s="349" t="s">
        <v>520</v>
      </c>
      <c r="E56" s="349" t="s">
        <v>112</v>
      </c>
      <c r="F56" s="349"/>
      <c r="G56" s="349" t="s">
        <v>529</v>
      </c>
      <c r="H56" s="294">
        <v>0</v>
      </c>
      <c r="I56" s="294">
        <f>'Gerência de Fiscalização'!E149</f>
        <v>950000</v>
      </c>
      <c r="J56" s="368">
        <f t="shared" ref="J56" si="8">I56-H56</f>
        <v>950000</v>
      </c>
      <c r="K56" s="369">
        <f t="shared" ref="K56" si="9">IFERROR(J56/H56*100,)</f>
        <v>0</v>
      </c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</row>
    <row r="57" spans="1:27" s="247" customFormat="1" ht="79.95" customHeight="1" x14ac:dyDescent="0.3">
      <c r="A57" s="259" t="s">
        <v>540</v>
      </c>
      <c r="B57" s="260" t="s">
        <v>312</v>
      </c>
      <c r="C57" s="261" t="s">
        <v>541</v>
      </c>
      <c r="D57" s="349" t="s">
        <v>542</v>
      </c>
      <c r="E57" s="349" t="s">
        <v>112</v>
      </c>
      <c r="F57" s="349"/>
      <c r="G57" s="349" t="s">
        <v>543</v>
      </c>
      <c r="H57" s="294">
        <f>'Gerência de Atendimento'!D15</f>
        <v>1215552.1768</v>
      </c>
      <c r="I57" s="294">
        <f>'Gerência de Atendimento'!E15</f>
        <v>1562956.05</v>
      </c>
      <c r="J57" s="368">
        <f t="shared" si="0"/>
        <v>347403.87320000003</v>
      </c>
      <c r="K57" s="369">
        <f t="shared" si="1"/>
        <v>28.579922756961167</v>
      </c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</row>
    <row r="58" spans="1:27" s="247" customFormat="1" ht="79.95" customHeight="1" x14ac:dyDescent="0.3">
      <c r="A58" s="259" t="s">
        <v>544</v>
      </c>
      <c r="B58" s="260" t="s">
        <v>312</v>
      </c>
      <c r="C58" s="261" t="s">
        <v>545</v>
      </c>
      <c r="D58" s="598" t="s">
        <v>495</v>
      </c>
      <c r="E58" s="598" t="s">
        <v>28</v>
      </c>
      <c r="F58" s="598"/>
      <c r="G58" s="598" t="s">
        <v>546</v>
      </c>
      <c r="H58" s="294">
        <f>'Gerência Financeira'!D20</f>
        <v>1170513.6500000001</v>
      </c>
      <c r="I58" s="294">
        <f>'Gerência Financeira'!E20</f>
        <v>0</v>
      </c>
      <c r="J58" s="368">
        <f t="shared" si="0"/>
        <v>-1170513.6500000001</v>
      </c>
      <c r="K58" s="369">
        <f t="shared" si="1"/>
        <v>-100</v>
      </c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</row>
    <row r="59" spans="1:27" s="247" customFormat="1" ht="79.95" customHeight="1" x14ac:dyDescent="0.3">
      <c r="A59" s="263" t="s">
        <v>547</v>
      </c>
      <c r="B59" s="260" t="s">
        <v>312</v>
      </c>
      <c r="C59" s="261" t="s">
        <v>548</v>
      </c>
      <c r="D59" s="349" t="s">
        <v>549</v>
      </c>
      <c r="E59" s="349" t="s">
        <v>29</v>
      </c>
      <c r="F59" s="264"/>
      <c r="G59" s="349" t="s">
        <v>550</v>
      </c>
      <c r="H59" s="294">
        <f>'Gerência Jurídica'!D14</f>
        <v>963376.1</v>
      </c>
      <c r="I59" s="294">
        <f>'Gerência Jurídica'!E14</f>
        <v>1102671.96</v>
      </c>
      <c r="J59" s="368">
        <f t="shared" si="0"/>
        <v>139295.85999999999</v>
      </c>
      <c r="K59" s="369">
        <f t="shared" si="1"/>
        <v>14.459135949085718</v>
      </c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</row>
    <row r="60" spans="1:27" s="247" customFormat="1" ht="79.95" customHeight="1" x14ac:dyDescent="0.3">
      <c r="A60" s="262" t="s">
        <v>551</v>
      </c>
      <c r="B60" s="260" t="s">
        <v>312</v>
      </c>
      <c r="C60" s="261" t="s">
        <v>552</v>
      </c>
      <c r="D60" s="598" t="s">
        <v>553</v>
      </c>
      <c r="E60" s="598" t="s">
        <v>29</v>
      </c>
      <c r="F60" s="598"/>
      <c r="G60" s="598" t="s">
        <v>554</v>
      </c>
      <c r="H60" s="294">
        <f>'Gerência de Planejamento'!D11</f>
        <v>258326</v>
      </c>
      <c r="I60" s="294">
        <f>'Gerência de Planejamento'!E11</f>
        <v>0</v>
      </c>
      <c r="J60" s="368">
        <f t="shared" si="0"/>
        <v>-258326</v>
      </c>
      <c r="K60" s="369">
        <f t="shared" si="1"/>
        <v>-100</v>
      </c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</row>
    <row r="61" spans="1:27" s="247" customFormat="1" ht="79.95" customHeight="1" x14ac:dyDescent="0.3">
      <c r="A61" s="262" t="s">
        <v>555</v>
      </c>
      <c r="B61" s="260" t="s">
        <v>312</v>
      </c>
      <c r="C61" s="261" t="s">
        <v>556</v>
      </c>
      <c r="D61" s="349" t="s">
        <v>557</v>
      </c>
      <c r="E61" s="349" t="s">
        <v>25</v>
      </c>
      <c r="F61" s="349"/>
      <c r="G61" s="349" t="s">
        <v>558</v>
      </c>
      <c r="H61" s="294">
        <f>'Gerência de Comunicação'!D18</f>
        <v>1105211.3</v>
      </c>
      <c r="I61" s="294">
        <f>'Gerência de Comunicação'!E18</f>
        <v>1259857.6000000001</v>
      </c>
      <c r="J61" s="368">
        <f t="shared" si="0"/>
        <v>154646.30000000005</v>
      </c>
      <c r="K61" s="369">
        <f t="shared" si="1"/>
        <v>13.992464608351366</v>
      </c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</row>
    <row r="62" spans="1:27" s="247" customFormat="1" ht="79.95" customHeight="1" x14ac:dyDescent="0.3">
      <c r="A62" s="262" t="s">
        <v>555</v>
      </c>
      <c r="B62" s="348" t="s">
        <v>313</v>
      </c>
      <c r="C62" s="349" t="str">
        <f>'Gerência de Comunicação'!C24:H24</f>
        <v>Projeto Especial para Promoção da Arquitetura e Urbanismo</v>
      </c>
      <c r="D62" s="349" t="s">
        <v>497</v>
      </c>
      <c r="E62" s="349" t="s">
        <v>25</v>
      </c>
      <c r="F62" s="349"/>
      <c r="G62" s="349" t="s">
        <v>492</v>
      </c>
      <c r="H62" s="294">
        <v>0</v>
      </c>
      <c r="I62" s="294">
        <f>'Gerência de Comunicação'!E31</f>
        <v>230000</v>
      </c>
      <c r="J62" s="368">
        <f t="shared" ref="J62" si="10">I62-H62</f>
        <v>230000</v>
      </c>
      <c r="K62" s="369">
        <f t="shared" ref="K62" si="11">IFERROR(J62/H62*100,)</f>
        <v>0</v>
      </c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</row>
    <row r="63" spans="1:27" s="247" customFormat="1" ht="79.95" customHeight="1" x14ac:dyDescent="0.3">
      <c r="A63" s="262" t="s">
        <v>629</v>
      </c>
      <c r="B63" s="260" t="s">
        <v>312</v>
      </c>
      <c r="C63" s="261" t="s">
        <v>628</v>
      </c>
      <c r="D63" s="349" t="s">
        <v>495</v>
      </c>
      <c r="E63" s="349" t="s">
        <v>29</v>
      </c>
      <c r="F63" s="349"/>
      <c r="G63" s="349" t="s">
        <v>527</v>
      </c>
      <c r="H63" s="13">
        <f>'Gerência Adm. e Financ.'!D43</f>
        <v>0</v>
      </c>
      <c r="I63" s="398">
        <f>'Gerência Adm. e Financ.'!E43</f>
        <v>3071980.68</v>
      </c>
      <c r="J63" s="368">
        <f t="shared" si="0"/>
        <v>3071980.68</v>
      </c>
      <c r="K63" s="369">
        <f t="shared" si="1"/>
        <v>0</v>
      </c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</row>
    <row r="64" spans="1:27" s="247" customFormat="1" ht="26.4" thickBot="1" x14ac:dyDescent="0.35">
      <c r="A64" s="459" t="s">
        <v>6</v>
      </c>
      <c r="B64" s="460"/>
      <c r="C64" s="460"/>
      <c r="D64" s="460"/>
      <c r="E64" s="460"/>
      <c r="F64" s="460"/>
      <c r="G64" s="461"/>
      <c r="H64" s="149">
        <f>SUM(H8:H63)</f>
        <v>17388645.011</v>
      </c>
      <c r="I64" s="399">
        <f>SUM(I8:I63)</f>
        <v>22258459.332542073</v>
      </c>
      <c r="J64" s="149">
        <f>SUM(J8:J63)</f>
        <v>4869814.3215420721</v>
      </c>
      <c r="K64" s="150">
        <f>IFERROR(J64/H64*100,)</f>
        <v>28.005714755010775</v>
      </c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</row>
    <row r="65" spans="1:27" s="247" customFormat="1" x14ac:dyDescent="0.3">
      <c r="A65" s="458" t="s">
        <v>302</v>
      </c>
      <c r="B65" s="458"/>
      <c r="C65" s="458"/>
      <c r="D65" s="458"/>
      <c r="E65" s="458"/>
      <c r="F65" s="458"/>
      <c r="G65" s="458"/>
      <c r="H65" s="250" t="b">
        <f>H64='Anexo 1. Fontes e Aplicações'!C34</f>
        <v>1</v>
      </c>
      <c r="I65" s="250" t="b">
        <f>I64='Anexo 1. Fontes e Aplicações'!D34</f>
        <v>1</v>
      </c>
      <c r="J65" s="250" t="b">
        <f>J64='Anexo 1. Fontes e Aplicações'!E34</f>
        <v>1</v>
      </c>
      <c r="K65" s="373" t="b">
        <f>K64='Anexo 1. Fontes e Aplicações'!F34</f>
        <v>1</v>
      </c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</row>
    <row r="66" spans="1:27" s="247" customFormat="1" x14ac:dyDescent="0.3">
      <c r="A66" s="454" t="s">
        <v>227</v>
      </c>
      <c r="B66" s="454"/>
      <c r="C66" s="454"/>
      <c r="D66" s="454"/>
      <c r="E66" s="454"/>
      <c r="F66" s="454"/>
      <c r="G66" s="454"/>
      <c r="H66" s="454"/>
      <c r="I66" s="454"/>
      <c r="J66" s="454"/>
      <c r="K66" s="454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</row>
    <row r="67" spans="1:27" s="247" customFormat="1" x14ac:dyDescent="0.3">
      <c r="A67" s="452"/>
      <c r="B67" s="453"/>
      <c r="C67" s="453"/>
      <c r="D67" s="453"/>
      <c r="E67" s="453"/>
      <c r="F67" s="453"/>
      <c r="G67" s="453"/>
      <c r="H67" s="453"/>
      <c r="I67" s="453"/>
      <c r="J67" s="453"/>
      <c r="K67" s="453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</row>
    <row r="68" spans="1:27" s="247" customFormat="1" x14ac:dyDescent="0.3">
      <c r="A68" s="451"/>
      <c r="B68" s="451"/>
      <c r="C68" s="451"/>
      <c r="D68" s="451"/>
      <c r="E68" s="451"/>
      <c r="F68" s="451"/>
      <c r="G68" s="451"/>
      <c r="H68" s="451"/>
      <c r="I68" s="451"/>
      <c r="J68" s="451"/>
      <c r="K68" s="451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</row>
    <row r="69" spans="1:27" x14ac:dyDescent="0.5">
      <c r="J69" s="325">
        <f>I64-H64</f>
        <v>4869814.321542073</v>
      </c>
      <c r="K69" s="331">
        <f>J69/H64</f>
        <v>0.2800571475501078</v>
      </c>
    </row>
  </sheetData>
  <sheetProtection formatCells="0" formatRows="0" insertRows="0" deleteRows="0"/>
  <autoFilter ref="A6:K66">
    <filterColumn colId="9" showButton="0"/>
  </autoFilter>
  <mergeCells count="19">
    <mergeCell ref="A1:K1"/>
    <mergeCell ref="G6:G7"/>
    <mergeCell ref="A3:K3"/>
    <mergeCell ref="J6:K6"/>
    <mergeCell ref="A6:A7"/>
    <mergeCell ref="B6:B7"/>
    <mergeCell ref="C6:C7"/>
    <mergeCell ref="E6:E7"/>
    <mergeCell ref="D6:D7"/>
    <mergeCell ref="A2:K2"/>
    <mergeCell ref="A5:K5"/>
    <mergeCell ref="A68:K68"/>
    <mergeCell ref="A67:K67"/>
    <mergeCell ref="A66:K66"/>
    <mergeCell ref="H6:H7"/>
    <mergeCell ref="I6:I7"/>
    <mergeCell ref="F6:F7"/>
    <mergeCell ref="A65:G65"/>
    <mergeCell ref="A64:G64"/>
  </mergeCells>
  <phoneticPr fontId="26" type="noConversion"/>
  <conditionalFormatting sqref="H65:K65">
    <cfRule type="cellIs" dxfId="18" priority="2" operator="equal">
      <formula>TRUE</formula>
    </cfRule>
  </conditionalFormatting>
  <pageMargins left="0.23622047244094491" right="0.23622047244094491" top="0.27" bottom="0.17" header="0.31496062992125984" footer="0.31496062992125984"/>
  <pageSetup paperSize="9" scale="41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'Validação de dados'!$E$1:$E$6</xm:f>
          </x14:formula1>
          <xm:sqref>B8:B63</xm:sqref>
        </x14:dataValidation>
        <x14:dataValidation type="list" allowBlank="1" showInputMessage="1" showErrorMessage="1">
          <x14:formula1>
            <xm:f>'[9]Validação de dados'!#REF!</xm:f>
          </x14:formula1>
          <xm:sqref>F8:F63</xm:sqref>
        </x14:dataValidation>
        <x14:dataValidation type="list" allowBlank="1" showInputMessage="1" showErrorMessage="1">
          <x14:formula1>
            <xm:f>'[9]Validação de dados'!#REF!</xm:f>
          </x14:formula1>
          <xm:sqref>E8:E63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7">
    <tabColor rgb="FF2A5664"/>
    <pageSetUpPr fitToPage="1"/>
  </sheetPr>
  <dimension ref="A1:Z59"/>
  <sheetViews>
    <sheetView showGridLines="0" zoomScale="110" zoomScaleNormal="110" zoomScaleSheetLayoutView="80" workbookViewId="0">
      <selection activeCell="E34" sqref="E34"/>
    </sheetView>
  </sheetViews>
  <sheetFormatPr defaultColWidth="0" defaultRowHeight="15.6" zeroHeight="1" x14ac:dyDescent="0.3"/>
  <cols>
    <col min="1" max="1" width="35.5546875" style="159" customWidth="1"/>
    <col min="2" max="3" width="21.44140625" style="159" customWidth="1"/>
    <col min="4" max="4" width="29.33203125" style="159" customWidth="1"/>
    <col min="5" max="5" width="27.44140625" style="159" customWidth="1"/>
    <col min="6" max="6" width="21.44140625" style="159" customWidth="1"/>
    <col min="7" max="7" width="22.109375" style="159" customWidth="1"/>
    <col min="8" max="8" width="18.88671875" style="170" hidden="1" customWidth="1"/>
    <col min="9" max="9" width="18.88671875" style="172" hidden="1" customWidth="1"/>
    <col min="10" max="11" width="18.88671875" style="170" hidden="1" customWidth="1"/>
    <col min="12" max="13" width="9.109375" style="170" hidden="1" customWidth="1"/>
    <col min="14" max="26" width="0" style="170" hidden="1" customWidth="1"/>
    <col min="27" max="16384" width="9.109375" style="170" hidden="1"/>
  </cols>
  <sheetData>
    <row r="1" spans="1:11" ht="29.4" customHeight="1" x14ac:dyDescent="0.3">
      <c r="A1" s="466" t="s">
        <v>437</v>
      </c>
      <c r="B1" s="466"/>
      <c r="C1" s="466"/>
      <c r="D1" s="466"/>
      <c r="E1" s="466"/>
      <c r="F1" s="466"/>
      <c r="G1" s="467"/>
    </row>
    <row r="2" spans="1:11" x14ac:dyDescent="0.3">
      <c r="A2" s="475" t="s">
        <v>54</v>
      </c>
      <c r="B2" s="476"/>
      <c r="C2" s="476"/>
      <c r="D2" s="476"/>
      <c r="E2" s="476"/>
      <c r="F2" s="476"/>
      <c r="G2" s="477"/>
    </row>
    <row r="3" spans="1:11" s="171" customFormat="1" x14ac:dyDescent="0.3">
      <c r="A3" s="475" t="s">
        <v>237</v>
      </c>
      <c r="B3" s="476"/>
      <c r="C3" s="476"/>
      <c r="D3" s="476"/>
      <c r="E3" s="476"/>
      <c r="F3" s="476"/>
      <c r="G3" s="477"/>
      <c r="I3" s="173"/>
    </row>
    <row r="4" spans="1:11" s="171" customFormat="1" x14ac:dyDescent="0.3">
      <c r="A4" s="495"/>
      <c r="B4" s="495"/>
      <c r="C4" s="495"/>
      <c r="D4" s="495"/>
      <c r="E4" s="495"/>
      <c r="F4" s="163" t="s">
        <v>18</v>
      </c>
      <c r="G4" s="161"/>
      <c r="I4" s="173"/>
    </row>
    <row r="5" spans="1:11" x14ac:dyDescent="0.3">
      <c r="A5" s="480" t="s">
        <v>7</v>
      </c>
      <c r="B5" s="481"/>
      <c r="C5" s="478" t="s">
        <v>249</v>
      </c>
      <c r="D5" s="478" t="s">
        <v>238</v>
      </c>
      <c r="E5" s="456" t="s">
        <v>248</v>
      </c>
      <c r="F5" s="456"/>
      <c r="G5" s="473" t="s">
        <v>438</v>
      </c>
    </row>
    <row r="6" spans="1:11" ht="31.2" x14ac:dyDescent="0.3">
      <c r="A6" s="482"/>
      <c r="B6" s="483"/>
      <c r="C6" s="479"/>
      <c r="D6" s="479"/>
      <c r="E6" s="15" t="s">
        <v>159</v>
      </c>
      <c r="F6" s="16" t="s">
        <v>160</v>
      </c>
      <c r="G6" s="473"/>
    </row>
    <row r="7" spans="1:11" x14ac:dyDescent="0.3">
      <c r="A7" s="465" t="s">
        <v>439</v>
      </c>
      <c r="B7" s="465"/>
      <c r="C7" s="231"/>
      <c r="D7" s="231"/>
      <c r="E7" s="231"/>
      <c r="F7" s="233"/>
      <c r="G7" s="233"/>
    </row>
    <row r="8" spans="1:11" x14ac:dyDescent="0.3">
      <c r="A8" s="469" t="s">
        <v>8</v>
      </c>
      <c r="B8" s="469"/>
      <c r="C8" s="151">
        <f>C9+C19+C20+C21</f>
        <v>14276129.777399996</v>
      </c>
      <c r="D8" s="401">
        <f>D9+D19+D20+D21</f>
        <v>17061721.328942068</v>
      </c>
      <c r="E8" s="151">
        <f>D8-C8</f>
        <v>2785591.5515420716</v>
      </c>
      <c r="F8" s="151">
        <f>IFERROR(E8/C8*100,)</f>
        <v>19.512231921230057</v>
      </c>
      <c r="G8" s="152">
        <f>IFERROR(D8/$D$25*100,0)</f>
        <v>76.652750654476691</v>
      </c>
      <c r="H8" s="236"/>
      <c r="I8" s="237"/>
      <c r="J8" s="236"/>
      <c r="K8" s="236"/>
    </row>
    <row r="9" spans="1:11" x14ac:dyDescent="0.3">
      <c r="A9" s="471" t="s">
        <v>79</v>
      </c>
      <c r="B9" s="471"/>
      <c r="C9" s="151">
        <f>C10+C17+C18</f>
        <v>13596094.907399997</v>
      </c>
      <c r="D9" s="151">
        <f>D10+D17+D18</f>
        <v>16295527.260000002</v>
      </c>
      <c r="E9" s="151">
        <f t="shared" ref="E9:E25" si="0">D9-C9</f>
        <v>2699432.3526000045</v>
      </c>
      <c r="F9" s="151">
        <f t="shared" ref="F9:F25" si="1">IFERROR(E9/C9*100,)</f>
        <v>19.854468293912646</v>
      </c>
      <c r="G9" s="152">
        <f t="shared" ref="G9:G25" si="2">IFERROR(D9/$D$25*100,0)</f>
        <v>73.21049053386804</v>
      </c>
      <c r="H9" s="236"/>
      <c r="I9" s="237">
        <f>I10+I17+I18</f>
        <v>14971474.881999999</v>
      </c>
      <c r="J9" s="236" t="b">
        <f>D9=I9</f>
        <v>0</v>
      </c>
      <c r="K9" s="238">
        <f>D9-I9</f>
        <v>1324052.3780000024</v>
      </c>
    </row>
    <row r="10" spans="1:11" x14ac:dyDescent="0.3">
      <c r="A10" s="471" t="s">
        <v>9</v>
      </c>
      <c r="B10" s="471"/>
      <c r="C10" s="151">
        <f>C11+C14</f>
        <v>5774446.1973999962</v>
      </c>
      <c r="D10" s="151">
        <f>D11+D14</f>
        <v>7543401.0099999998</v>
      </c>
      <c r="E10" s="151">
        <f t="shared" si="0"/>
        <v>1768954.8126000036</v>
      </c>
      <c r="F10" s="151">
        <f t="shared" si="1"/>
        <v>30.634189879481323</v>
      </c>
      <c r="G10" s="152">
        <f t="shared" si="2"/>
        <v>33.890041078411578</v>
      </c>
      <c r="H10" s="236"/>
      <c r="I10" s="237">
        <f>I11+I14</f>
        <v>6219348.6320000002</v>
      </c>
      <c r="J10" s="236" t="b">
        <f t="shared" ref="J10:J18" si="3">D10=I10</f>
        <v>0</v>
      </c>
      <c r="K10" s="238">
        <f t="shared" ref="K10:K18" si="4">D10-I10</f>
        <v>1324052.3779999996</v>
      </c>
    </row>
    <row r="11" spans="1:11" x14ac:dyDescent="0.3">
      <c r="A11" s="471" t="s">
        <v>10</v>
      </c>
      <c r="B11" s="471"/>
      <c r="C11" s="148">
        <f>SUM(C12:C13)</f>
        <v>5058079.9373999964</v>
      </c>
      <c r="D11" s="148">
        <f>SUM(D12:D13)</f>
        <v>6434720.0999999996</v>
      </c>
      <c r="E11" s="151">
        <f t="shared" si="0"/>
        <v>1376640.1626000032</v>
      </c>
      <c r="F11" s="151">
        <f t="shared" si="1"/>
        <v>27.216654929096222</v>
      </c>
      <c r="G11" s="152">
        <f t="shared" si="2"/>
        <v>28.90909925483076</v>
      </c>
      <c r="H11" s="236"/>
      <c r="I11" s="237">
        <f>I12+I13</f>
        <v>5409402.1919999998</v>
      </c>
      <c r="J11" s="236" t="b">
        <f t="shared" si="3"/>
        <v>0</v>
      </c>
      <c r="K11" s="238">
        <f t="shared" si="4"/>
        <v>1025317.9079999998</v>
      </c>
    </row>
    <row r="12" spans="1:11" x14ac:dyDescent="0.3">
      <c r="A12" s="474" t="s">
        <v>239</v>
      </c>
      <c r="B12" s="474"/>
      <c r="C12" s="258">
        <v>4135007.87</v>
      </c>
      <c r="D12" s="13">
        <v>4734720.0999999996</v>
      </c>
      <c r="E12" s="151">
        <f t="shared" si="0"/>
        <v>599712.22999999952</v>
      </c>
      <c r="F12" s="151">
        <f t="shared" si="1"/>
        <v>14.503291138838861</v>
      </c>
      <c r="G12" s="152">
        <f t="shared" si="2"/>
        <v>21.271553569943507</v>
      </c>
      <c r="H12" s="236"/>
      <c r="I12" s="237">
        <f>'Diretrizes - Resumo'!AK7</f>
        <v>4734720.0959999999</v>
      </c>
      <c r="J12" s="236" t="b">
        <f t="shared" si="3"/>
        <v>0</v>
      </c>
      <c r="K12" s="238">
        <f t="shared" si="4"/>
        <v>3.9999997243285179E-3</v>
      </c>
    </row>
    <row r="13" spans="1:11" x14ac:dyDescent="0.3">
      <c r="A13" s="474" t="s">
        <v>77</v>
      </c>
      <c r="B13" s="474"/>
      <c r="C13" s="258">
        <v>923072.06739999633</v>
      </c>
      <c r="D13" s="13">
        <v>1700000</v>
      </c>
      <c r="E13" s="151">
        <f t="shared" si="0"/>
        <v>776927.93260000367</v>
      </c>
      <c r="F13" s="151">
        <f t="shared" si="1"/>
        <v>84.1676354467496</v>
      </c>
      <c r="G13" s="152">
        <f t="shared" si="2"/>
        <v>7.6375456848872565</v>
      </c>
      <c r="H13" s="236"/>
      <c r="I13" s="237">
        <f>'Diretrizes - Resumo'!AK8</f>
        <v>674682.09600000002</v>
      </c>
      <c r="J13" s="236" t="b">
        <f t="shared" si="3"/>
        <v>0</v>
      </c>
      <c r="K13" s="238">
        <f t="shared" si="4"/>
        <v>1025317.904</v>
      </c>
    </row>
    <row r="14" spans="1:11" x14ac:dyDescent="0.3">
      <c r="A14" s="471" t="s">
        <v>11</v>
      </c>
      <c r="B14" s="471"/>
      <c r="C14" s="151">
        <f>SUM(C15:C16)</f>
        <v>716366.26</v>
      </c>
      <c r="D14" s="151">
        <f>SUM(D15:D16)</f>
        <v>1108680.9100000001</v>
      </c>
      <c r="E14" s="151">
        <f t="shared" si="0"/>
        <v>392314.65000000014</v>
      </c>
      <c r="F14" s="151">
        <f t="shared" si="1"/>
        <v>54.764534834457464</v>
      </c>
      <c r="G14" s="152">
        <f t="shared" si="2"/>
        <v>4.9809418235808112</v>
      </c>
      <c r="H14" s="236"/>
      <c r="I14" s="237">
        <f>I15+I16</f>
        <v>809946.44000000006</v>
      </c>
      <c r="J14" s="236" t="b">
        <f t="shared" si="3"/>
        <v>0</v>
      </c>
      <c r="K14" s="238">
        <f t="shared" si="4"/>
        <v>298734.47000000009</v>
      </c>
    </row>
    <row r="15" spans="1:11" x14ac:dyDescent="0.3">
      <c r="A15" s="474" t="s">
        <v>240</v>
      </c>
      <c r="B15" s="474"/>
      <c r="C15" s="17">
        <v>515100.73</v>
      </c>
      <c r="D15" s="17">
        <v>608680.91</v>
      </c>
      <c r="E15" s="151">
        <f t="shared" si="0"/>
        <v>93580.180000000051</v>
      </c>
      <c r="F15" s="151">
        <f t="shared" si="1"/>
        <v>18.167355344264422</v>
      </c>
      <c r="G15" s="152">
        <f t="shared" si="2"/>
        <v>2.7346048574374993</v>
      </c>
      <c r="H15" s="236"/>
      <c r="I15" s="237">
        <f>'Diretrizes - Resumo'!AK10</f>
        <v>608680.91200000001</v>
      </c>
      <c r="J15" s="236" t="b">
        <f t="shared" si="3"/>
        <v>0</v>
      </c>
      <c r="K15" s="238">
        <f t="shared" si="4"/>
        <v>-1.9999999785795808E-3</v>
      </c>
    </row>
    <row r="16" spans="1:11" x14ac:dyDescent="0.3">
      <c r="A16" s="474" t="s">
        <v>78</v>
      </c>
      <c r="B16" s="474"/>
      <c r="C16" s="17">
        <v>201265.53</v>
      </c>
      <c r="D16" s="17">
        <v>500000</v>
      </c>
      <c r="E16" s="151">
        <f t="shared" si="0"/>
        <v>298734.46999999997</v>
      </c>
      <c r="F16" s="151">
        <f t="shared" si="1"/>
        <v>148.42803434845499</v>
      </c>
      <c r="G16" s="152">
        <f t="shared" si="2"/>
        <v>2.246336966143311</v>
      </c>
      <c r="H16" s="236"/>
      <c r="I16" s="237">
        <f>'Diretrizes - Resumo'!AK11</f>
        <v>201265.52800000002</v>
      </c>
      <c r="J16" s="236" t="b">
        <f t="shared" si="3"/>
        <v>0</v>
      </c>
      <c r="K16" s="238">
        <f t="shared" si="4"/>
        <v>298734.47199999995</v>
      </c>
    </row>
    <row r="17" spans="1:11" x14ac:dyDescent="0.3">
      <c r="A17" s="468" t="s">
        <v>68</v>
      </c>
      <c r="B17" s="468"/>
      <c r="C17" s="18">
        <v>7347973.9199999999</v>
      </c>
      <c r="D17" s="18">
        <v>8176300.29</v>
      </c>
      <c r="E17" s="151">
        <f t="shared" si="0"/>
        <v>828326.37000000011</v>
      </c>
      <c r="F17" s="151">
        <f t="shared" si="1"/>
        <v>11.272853973330381</v>
      </c>
      <c r="G17" s="152">
        <f t="shared" si="2"/>
        <v>36.733451175430545</v>
      </c>
      <c r="H17" s="236"/>
      <c r="I17" s="237">
        <f>'Diretrizes - Resumo'!AK12</f>
        <v>8176300.29</v>
      </c>
      <c r="J17" s="236" t="b">
        <f t="shared" si="3"/>
        <v>1</v>
      </c>
      <c r="K17" s="238">
        <f t="shared" si="4"/>
        <v>0</v>
      </c>
    </row>
    <row r="18" spans="1:11" x14ac:dyDescent="0.3">
      <c r="A18" s="468" t="s">
        <v>158</v>
      </c>
      <c r="B18" s="468"/>
      <c r="C18" s="18">
        <v>473674.79000000004</v>
      </c>
      <c r="D18" s="18">
        <v>575825.96</v>
      </c>
      <c r="E18" s="151">
        <f t="shared" si="0"/>
        <v>102151.16999999993</v>
      </c>
      <c r="F18" s="151">
        <f t="shared" si="1"/>
        <v>21.565675893369775</v>
      </c>
      <c r="G18" s="152">
        <f t="shared" si="2"/>
        <v>2.5869982800259188</v>
      </c>
      <c r="H18" s="236"/>
      <c r="I18" s="237">
        <f>'Diretrizes - Resumo'!AK13</f>
        <v>575825.96</v>
      </c>
      <c r="J18" s="236" t="b">
        <f t="shared" si="3"/>
        <v>1</v>
      </c>
      <c r="K18" s="238">
        <f t="shared" si="4"/>
        <v>0</v>
      </c>
    </row>
    <row r="19" spans="1:11" x14ac:dyDescent="0.3">
      <c r="A19" s="468" t="s">
        <v>12</v>
      </c>
      <c r="B19" s="468"/>
      <c r="C19" s="18">
        <v>617115.11</v>
      </c>
      <c r="D19" s="18">
        <v>700000</v>
      </c>
      <c r="E19" s="151">
        <f t="shared" si="0"/>
        <v>82884.890000000014</v>
      </c>
      <c r="F19" s="151">
        <f t="shared" si="1"/>
        <v>13.431025858368631</v>
      </c>
      <c r="G19" s="152">
        <f t="shared" si="2"/>
        <v>3.1448717526006349</v>
      </c>
      <c r="H19" s="236"/>
      <c r="I19" s="237"/>
      <c r="J19" s="236"/>
      <c r="K19" s="236"/>
    </row>
    <row r="20" spans="1:11" x14ac:dyDescent="0.3">
      <c r="A20" s="468" t="s">
        <v>141</v>
      </c>
      <c r="B20" s="468"/>
      <c r="C20" s="19">
        <v>62919.76</v>
      </c>
      <c r="D20" s="19">
        <v>66194.068942066006</v>
      </c>
      <c r="E20" s="151">
        <f t="shared" si="0"/>
        <v>3274.3089420660035</v>
      </c>
      <c r="F20" s="151">
        <f t="shared" si="1"/>
        <v>5.2039437881930946</v>
      </c>
      <c r="G20" s="152">
        <f t="shared" si="2"/>
        <v>0.29738836800800339</v>
      </c>
      <c r="H20" s="236"/>
      <c r="I20" s="237"/>
      <c r="J20" s="236"/>
      <c r="K20" s="236"/>
    </row>
    <row r="21" spans="1:11" x14ac:dyDescent="0.3">
      <c r="A21" s="468" t="s">
        <v>13</v>
      </c>
      <c r="B21" s="468"/>
      <c r="C21" s="19">
        <v>0</v>
      </c>
      <c r="D21" s="19"/>
      <c r="E21" s="151">
        <f t="shared" si="0"/>
        <v>0</v>
      </c>
      <c r="F21" s="151">
        <f t="shared" si="1"/>
        <v>0</v>
      </c>
      <c r="G21" s="152">
        <f t="shared" si="2"/>
        <v>0</v>
      </c>
      <c r="H21" s="236"/>
      <c r="I21" s="237"/>
      <c r="J21" s="236"/>
      <c r="K21" s="236"/>
    </row>
    <row r="22" spans="1:11" x14ac:dyDescent="0.3">
      <c r="A22" s="472" t="s">
        <v>320</v>
      </c>
      <c r="B22" s="472"/>
      <c r="C22" s="154">
        <f>SUM(C23:C24)</f>
        <v>3112515.23</v>
      </c>
      <c r="D22" s="154">
        <f>SUM(D23:D24)</f>
        <v>5196738</v>
      </c>
      <c r="E22" s="151">
        <f t="shared" si="0"/>
        <v>2084222.77</v>
      </c>
      <c r="F22" s="151">
        <f t="shared" si="1"/>
        <v>66.962652902424509</v>
      </c>
      <c r="G22" s="152">
        <f t="shared" si="2"/>
        <v>23.347249345523313</v>
      </c>
      <c r="H22" s="236"/>
      <c r="I22" s="237"/>
      <c r="J22" s="236"/>
      <c r="K22" s="236"/>
    </row>
    <row r="23" spans="1:11" x14ac:dyDescent="0.3">
      <c r="A23" s="468" t="s">
        <v>14</v>
      </c>
      <c r="B23" s="468"/>
      <c r="C23" s="19">
        <v>3112515.23</v>
      </c>
      <c r="D23" s="19">
        <v>5196738</v>
      </c>
      <c r="E23" s="151">
        <f t="shared" si="0"/>
        <v>2084222.77</v>
      </c>
      <c r="F23" s="151">
        <f t="shared" si="1"/>
        <v>66.962652902424509</v>
      </c>
      <c r="G23" s="152">
        <f t="shared" si="2"/>
        <v>23.347249345523313</v>
      </c>
      <c r="H23" s="236"/>
      <c r="I23" s="237">
        <f>'Diretrizes - Resumo'!AN9</f>
        <v>18607318.912999999</v>
      </c>
      <c r="J23" s="236" t="b">
        <f>I23&lt;=D23</f>
        <v>0</v>
      </c>
      <c r="K23" s="238">
        <f t="shared" ref="K23" si="5">D23-I23</f>
        <v>-13410580.912999999</v>
      </c>
    </row>
    <row r="24" spans="1:11" x14ac:dyDescent="0.3">
      <c r="A24" s="468" t="s">
        <v>140</v>
      </c>
      <c r="B24" s="468"/>
      <c r="C24" s="258">
        <f>SUM(A24:B24)</f>
        <v>0</v>
      </c>
      <c r="D24" s="19"/>
      <c r="E24" s="151">
        <f t="shared" si="0"/>
        <v>0</v>
      </c>
      <c r="F24" s="151">
        <f t="shared" si="1"/>
        <v>0</v>
      </c>
      <c r="G24" s="152">
        <f t="shared" si="2"/>
        <v>0</v>
      </c>
      <c r="H24" s="236"/>
      <c r="I24" s="237"/>
      <c r="J24" s="236"/>
      <c r="K24" s="236"/>
    </row>
    <row r="25" spans="1:11" x14ac:dyDescent="0.3">
      <c r="A25" s="469" t="s">
        <v>15</v>
      </c>
      <c r="B25" s="469"/>
      <c r="C25" s="151">
        <f>SUM(C8,C22)</f>
        <v>17388645.007399995</v>
      </c>
      <c r="D25" s="401">
        <f>SUM(D8,D22)</f>
        <v>22258459.328942068</v>
      </c>
      <c r="E25" s="401">
        <f t="shared" si="0"/>
        <v>4869814.321542073</v>
      </c>
      <c r="F25" s="151">
        <f t="shared" si="1"/>
        <v>28.005714760808857</v>
      </c>
      <c r="G25" s="152">
        <f t="shared" si="2"/>
        <v>100</v>
      </c>
      <c r="H25" s="236"/>
      <c r="I25" s="237"/>
      <c r="J25" s="236"/>
      <c r="K25" s="236"/>
    </row>
    <row r="26" spans="1:11" x14ac:dyDescent="0.3">
      <c r="A26" s="465" t="s">
        <v>440</v>
      </c>
      <c r="B26" s="465"/>
      <c r="C26" s="232"/>
      <c r="D26" s="232"/>
      <c r="E26" s="232"/>
      <c r="F26" s="232"/>
      <c r="G26" s="234"/>
      <c r="H26" s="236"/>
      <c r="I26" s="237"/>
      <c r="J26" s="236"/>
      <c r="K26" s="236"/>
    </row>
    <row r="27" spans="1:11" x14ac:dyDescent="0.3">
      <c r="A27" s="471" t="s">
        <v>321</v>
      </c>
      <c r="B27" s="471"/>
      <c r="C27" s="151">
        <f>SUM(C28:C30)</f>
        <v>16063429.341</v>
      </c>
      <c r="D27" s="151">
        <f>SUM(D28:D30)</f>
        <v>20667751.602542073</v>
      </c>
      <c r="E27" s="151">
        <f t="shared" ref="E27:E35" si="6">D27-C27</f>
        <v>4604322.2615420725</v>
      </c>
      <c r="F27" s="151">
        <f t="shared" ref="F27:F34" si="7">IFERROR(E27/C27*100,)</f>
        <v>28.663382916561197</v>
      </c>
      <c r="G27" s="152">
        <f t="shared" ref="G27:G34" si="8">IFERROR(D27/$D$34*100,0)</f>
        <v>92.853468848698029</v>
      </c>
      <c r="H27" s="236"/>
      <c r="I27" s="237"/>
      <c r="J27" s="236"/>
      <c r="K27" s="236"/>
    </row>
    <row r="28" spans="1:11" x14ac:dyDescent="0.3">
      <c r="A28" s="471" t="s">
        <v>322</v>
      </c>
      <c r="B28" s="471"/>
      <c r="C28" s="153">
        <f>SUMIF('Quadro Geral'!$B$8:$B$63,"p",'Quadro Geral'!H8:H63)+SUMIF('Quadro Geral'!$B$8:$B$63,"p.",'Quadro Geral'!H8:H63)</f>
        <v>2858451.8637999999</v>
      </c>
      <c r="D28" s="153">
        <f>SUMIF('Quadro Geral'!$B$8:$B$63,"p",'Quadro Geral'!I8:I63)</f>
        <v>3391079.88</v>
      </c>
      <c r="E28" s="151">
        <f t="shared" si="6"/>
        <v>532628.01619999995</v>
      </c>
      <c r="F28" s="151">
        <f t="shared" si="7"/>
        <v>18.633443611393517</v>
      </c>
      <c r="G28" s="152">
        <f t="shared" si="8"/>
        <v>15.235016176713586</v>
      </c>
      <c r="H28" s="236"/>
      <c r="I28" s="237"/>
      <c r="J28" s="236"/>
      <c r="K28" s="236"/>
    </row>
    <row r="29" spans="1:11" x14ac:dyDescent="0.3">
      <c r="A29" s="484" t="s">
        <v>323</v>
      </c>
      <c r="B29" s="485"/>
      <c r="C29" s="153">
        <f>SUMIF('Quadro Geral'!$B$8:$B$64,"pe",'Quadro Geral'!H8:H64)+SUMIF('Quadro Geral'!$B$8:$B$64,"pe.",'Quadro Geral'!H8:H64)</f>
        <v>1800000</v>
      </c>
      <c r="D29" s="153">
        <f>SUMIF('Quadro Geral'!$B$8:$B$64,"pe",'Quadro Geral'!I8:I64)</f>
        <v>2754000</v>
      </c>
      <c r="E29" s="151">
        <f t="shared" si="6"/>
        <v>954000</v>
      </c>
      <c r="F29" s="151">
        <f t="shared" si="7"/>
        <v>53</v>
      </c>
      <c r="G29" s="152">
        <f t="shared" si="8"/>
        <v>12.372824007516218</v>
      </c>
      <c r="H29" s="236"/>
      <c r="I29" s="237"/>
      <c r="J29" s="236"/>
      <c r="K29" s="236"/>
    </row>
    <row r="30" spans="1:11" x14ac:dyDescent="0.3">
      <c r="A30" s="471" t="s">
        <v>324</v>
      </c>
      <c r="B30" s="471"/>
      <c r="C30" s="153">
        <f>SUMIF('Quadro Geral'!$B$8:$B$65,"a",'Quadro Geral'!H8:H65)+SUMIF('Quadro Geral'!$B$8:$B$65,"a.",'Quadro Geral'!H8:H65)-C31-C32-C33</f>
        <v>11404977.4772</v>
      </c>
      <c r="D30" s="153">
        <f>SUMIF('Quadro Geral'!$B$8:$B$65,"a",'Quadro Geral'!I8:I65)-D31-D32-D33</f>
        <v>14522671.722542072</v>
      </c>
      <c r="E30" s="151">
        <f t="shared" si="6"/>
        <v>3117694.2453420721</v>
      </c>
      <c r="F30" s="151">
        <f t="shared" si="7"/>
        <v>27.336259554871887</v>
      </c>
      <c r="G30" s="152">
        <f>IFERROR(D30/$D$34*100,0)</f>
        <v>65.245628664468214</v>
      </c>
      <c r="H30" s="236"/>
      <c r="I30" s="237"/>
      <c r="J30" s="236"/>
      <c r="K30" s="236"/>
    </row>
    <row r="31" spans="1:11" x14ac:dyDescent="0.3">
      <c r="A31" s="468" t="s">
        <v>325</v>
      </c>
      <c r="B31" s="468"/>
      <c r="C31" s="18">
        <f>'Quadro Geral'!H11</f>
        <v>291245.11</v>
      </c>
      <c r="D31" s="18">
        <f>'Quadro Geral'!I11</f>
        <v>273150.81</v>
      </c>
      <c r="E31" s="151">
        <f t="shared" si="6"/>
        <v>-18094.299999999988</v>
      </c>
      <c r="F31" s="151">
        <f t="shared" si="7"/>
        <v>-6.2127395031628136</v>
      </c>
      <c r="G31" s="152">
        <f t="shared" si="8"/>
        <v>1.2271775234714966</v>
      </c>
      <c r="H31" s="236"/>
      <c r="I31" s="237"/>
      <c r="J31" s="236"/>
      <c r="K31" s="236"/>
    </row>
    <row r="32" spans="1:11" x14ac:dyDescent="0.3">
      <c r="A32" s="468" t="s">
        <v>326</v>
      </c>
      <c r="B32" s="468"/>
      <c r="C32" s="18">
        <f>'Quadro Geral'!H9+'Quadro Geral'!H10</f>
        <v>1033970.56</v>
      </c>
      <c r="D32" s="18">
        <f>'Quadro Geral'!I9+'Quadro Geral'!I10</f>
        <v>1317556.9200000002</v>
      </c>
      <c r="E32" s="151">
        <f t="shared" si="6"/>
        <v>283586.3600000001</v>
      </c>
      <c r="F32" s="151">
        <f t="shared" si="7"/>
        <v>27.426927900152215</v>
      </c>
      <c r="G32" s="152">
        <f t="shared" si="8"/>
        <v>5.9193536278304748</v>
      </c>
      <c r="H32" s="236"/>
      <c r="I32" s="237"/>
      <c r="J32" s="236"/>
      <c r="K32" s="236"/>
    </row>
    <row r="33" spans="1:11" x14ac:dyDescent="0.3">
      <c r="A33" s="468" t="s">
        <v>327</v>
      </c>
      <c r="B33" s="468"/>
      <c r="C33" s="18"/>
      <c r="D33" s="18"/>
      <c r="E33" s="151">
        <f t="shared" si="6"/>
        <v>0</v>
      </c>
      <c r="F33" s="151">
        <f t="shared" si="7"/>
        <v>0</v>
      </c>
      <c r="G33" s="152">
        <f t="shared" si="8"/>
        <v>0</v>
      </c>
      <c r="H33" s="236"/>
      <c r="I33" s="237"/>
      <c r="J33" s="236"/>
      <c r="K33" s="236"/>
    </row>
    <row r="34" spans="1:11" x14ac:dyDescent="0.3">
      <c r="A34" s="469" t="s">
        <v>16</v>
      </c>
      <c r="B34" s="469"/>
      <c r="C34" s="151">
        <f>SUM(C27,C31:C33)</f>
        <v>17388645.011</v>
      </c>
      <c r="D34" s="151">
        <f>SUM(D27,D31:D33)</f>
        <v>22258459.332542073</v>
      </c>
      <c r="E34" s="401">
        <f t="shared" si="6"/>
        <v>4869814.321542073</v>
      </c>
      <c r="F34" s="151">
        <f t="shared" si="7"/>
        <v>28.005714755010779</v>
      </c>
      <c r="G34" s="152">
        <f t="shared" si="8"/>
        <v>100</v>
      </c>
      <c r="H34" s="236"/>
      <c r="I34" s="237"/>
      <c r="J34" s="236"/>
      <c r="K34" s="236"/>
    </row>
    <row r="35" spans="1:11" x14ac:dyDescent="0.3">
      <c r="A35" s="470" t="s">
        <v>17</v>
      </c>
      <c r="B35" s="470"/>
      <c r="C35" s="400">
        <f>C25-C34</f>
        <v>-3.6000050604343414E-3</v>
      </c>
      <c r="D35" s="154">
        <f>D25-D34</f>
        <v>-3.6000050604343414E-3</v>
      </c>
      <c r="E35" s="597">
        <f t="shared" si="6"/>
        <v>0</v>
      </c>
      <c r="F35" s="154"/>
      <c r="G35" s="235"/>
      <c r="H35" s="236"/>
      <c r="I35" s="237"/>
      <c r="J35" s="236"/>
      <c r="K35" s="236"/>
    </row>
    <row r="36" spans="1:11" x14ac:dyDescent="0.3">
      <c r="A36" s="164"/>
      <c r="B36" s="164"/>
      <c r="C36" s="165" t="b">
        <f>C34='Quadro Geral'!H64</f>
        <v>1</v>
      </c>
      <c r="D36" s="165" t="b">
        <f>D34='Quadro Geral'!I64</f>
        <v>1</v>
      </c>
      <c r="E36" s="165" t="b">
        <f>E34='Quadro Geral'!J64</f>
        <v>1</v>
      </c>
      <c r="F36" s="165" t="b">
        <f>F34='Quadro Geral'!K64</f>
        <v>1</v>
      </c>
      <c r="G36" s="166"/>
    </row>
    <row r="37" spans="1:11" x14ac:dyDescent="0.3">
      <c r="A37" s="496" t="s">
        <v>241</v>
      </c>
      <c r="B37" s="497"/>
      <c r="C37" s="497"/>
      <c r="D37" s="497"/>
      <c r="E37" s="497"/>
      <c r="F37" s="497"/>
      <c r="G37" s="497"/>
    </row>
    <row r="38" spans="1:11" x14ac:dyDescent="0.3">
      <c r="A38" s="239" t="s">
        <v>71</v>
      </c>
      <c r="B38" s="492" t="s">
        <v>163</v>
      </c>
      <c r="C38" s="493"/>
      <c r="D38" s="494"/>
      <c r="E38" s="492" t="s">
        <v>164</v>
      </c>
      <c r="F38" s="493"/>
      <c r="G38" s="494"/>
    </row>
    <row r="39" spans="1:11" ht="46.8" x14ac:dyDescent="0.3">
      <c r="A39" s="239"/>
      <c r="B39" s="240" t="s">
        <v>250</v>
      </c>
      <c r="C39" s="240" t="s">
        <v>242</v>
      </c>
      <c r="D39" s="240" t="s">
        <v>154</v>
      </c>
      <c r="E39" s="240" t="s">
        <v>250</v>
      </c>
      <c r="F39" s="240" t="s">
        <v>242</v>
      </c>
      <c r="G39" s="240" t="s">
        <v>154</v>
      </c>
    </row>
    <row r="40" spans="1:11" x14ac:dyDescent="0.3">
      <c r="A40" s="241" t="s">
        <v>72</v>
      </c>
      <c r="B40" s="155">
        <f>C8</f>
        <v>14276129.777399996</v>
      </c>
      <c r="C40" s="155">
        <f>D8</f>
        <v>17061721.328942068</v>
      </c>
      <c r="D40" s="404">
        <f>IFERROR(C40/B40,)-1</f>
        <v>0.19512231921230061</v>
      </c>
      <c r="E40" s="167">
        <v>16260198.657399999</v>
      </c>
      <c r="F40" s="155">
        <f>'Anexo 3. Elemento de Despesas'!N53</f>
        <v>19815721.332542069</v>
      </c>
      <c r="G40" s="402">
        <f>IFERROR(F40/E40,)-1</f>
        <v>0.21866415964874797</v>
      </c>
    </row>
    <row r="41" spans="1:11" x14ac:dyDescent="0.3">
      <c r="A41" s="241" t="s">
        <v>73</v>
      </c>
      <c r="B41" s="155">
        <f>C22</f>
        <v>3112515.23</v>
      </c>
      <c r="C41" s="155">
        <f>D22</f>
        <v>5196738</v>
      </c>
      <c r="D41" s="404">
        <f>IFERROR(C41/B41,)-1</f>
        <v>0.66962652902424513</v>
      </c>
      <c r="E41" s="167">
        <v>1128446.3536</v>
      </c>
      <c r="F41" s="155">
        <f>'Anexo 3. Elemento de Despesas'!O53</f>
        <v>2442738</v>
      </c>
      <c r="G41" s="402">
        <f>IFERROR(F41/E41,)-1</f>
        <v>1.1646912963182618</v>
      </c>
    </row>
    <row r="42" spans="1:11" x14ac:dyDescent="0.3">
      <c r="A42" s="242" t="s">
        <v>0</v>
      </c>
      <c r="B42" s="156">
        <f>SUM(B40:B41)</f>
        <v>17388645.007399995</v>
      </c>
      <c r="C42" s="156">
        <f>SUM(C40:C41)</f>
        <v>22258459.328942068</v>
      </c>
      <c r="D42" s="405">
        <f>IFERROR(C42/B42,)-1</f>
        <v>0.28005714760808864</v>
      </c>
      <c r="E42" s="156">
        <f>SUM(E40:E41)</f>
        <v>17388645.011</v>
      </c>
      <c r="F42" s="156">
        <f>SUM(F40:F41)</f>
        <v>22258459.332542069</v>
      </c>
      <c r="G42" s="403">
        <f>IFERROR(F42/E42,)-1</f>
        <v>0.28005714755010769</v>
      </c>
    </row>
    <row r="43" spans="1:11" x14ac:dyDescent="0.3">
      <c r="A43" s="498"/>
      <c r="B43" s="499"/>
      <c r="C43" s="499"/>
      <c r="D43" s="499"/>
      <c r="E43" s="499"/>
      <c r="F43" s="499"/>
      <c r="G43" s="499"/>
    </row>
    <row r="44" spans="1:11" ht="31.2" x14ac:dyDescent="0.3">
      <c r="A44" s="240" t="s">
        <v>7</v>
      </c>
      <c r="B44" s="240" t="s">
        <v>229</v>
      </c>
      <c r="C44" s="240" t="s">
        <v>230</v>
      </c>
      <c r="D44" s="240" t="s">
        <v>231</v>
      </c>
    </row>
    <row r="45" spans="1:11" x14ac:dyDescent="0.3">
      <c r="A45" s="239" t="s">
        <v>110</v>
      </c>
      <c r="B45" s="157">
        <f>D8</f>
        <v>17061721.328942068</v>
      </c>
      <c r="C45" s="157">
        <f>D22</f>
        <v>5196738</v>
      </c>
      <c r="D45" s="157">
        <f>SUM(B45:C45)</f>
        <v>22258459.328942068</v>
      </c>
    </row>
    <row r="46" spans="1:11" x14ac:dyDescent="0.3">
      <c r="A46" s="239" t="s">
        <v>111</v>
      </c>
      <c r="B46" s="157">
        <f>'Anexo 3. Elemento de Despesas'!N53</f>
        <v>19815721.332542069</v>
      </c>
      <c r="C46" s="157">
        <f>'Anexo 3. Elemento de Despesas'!O53</f>
        <v>2442738</v>
      </c>
      <c r="D46" s="157">
        <f>SUM(B46:C46)</f>
        <v>22258459.332542069</v>
      </c>
    </row>
    <row r="47" spans="1:11" x14ac:dyDescent="0.3">
      <c r="A47" s="243" t="s">
        <v>17</v>
      </c>
      <c r="B47" s="158">
        <f>B45-B46</f>
        <v>-2754000.0036000013</v>
      </c>
      <c r="C47" s="158">
        <f t="shared" ref="C47:D47" si="9">C45-C46</f>
        <v>2754000</v>
      </c>
      <c r="D47" s="158">
        <f t="shared" si="9"/>
        <v>-3.600001335144043E-3</v>
      </c>
    </row>
    <row r="48" spans="1:11" x14ac:dyDescent="0.3"/>
    <row r="49" spans="1:7" s="170" customFormat="1" ht="30.6" customHeight="1" x14ac:dyDescent="0.3">
      <c r="A49" s="244" t="s">
        <v>317</v>
      </c>
      <c r="B49" s="244" t="s">
        <v>319</v>
      </c>
      <c r="C49" s="159"/>
      <c r="D49" s="159"/>
      <c r="E49" s="159"/>
      <c r="F49" s="159"/>
      <c r="G49" s="159"/>
    </row>
    <row r="50" spans="1:7" s="170" customFormat="1" ht="31.2" x14ac:dyDescent="0.3">
      <c r="A50" s="244" t="s">
        <v>318</v>
      </c>
      <c r="B50" s="245">
        <v>18607318.91</v>
      </c>
      <c r="C50" s="159"/>
      <c r="D50" s="159"/>
      <c r="E50" s="159"/>
      <c r="F50" s="159"/>
      <c r="G50" s="159"/>
    </row>
    <row r="51" spans="1:7" s="170" customFormat="1" x14ac:dyDescent="0.3">
      <c r="A51" s="244" t="s">
        <v>307</v>
      </c>
      <c r="B51" s="245">
        <f>C46</f>
        <v>2442738</v>
      </c>
      <c r="C51" s="159"/>
      <c r="D51" s="159"/>
      <c r="E51" s="159"/>
      <c r="F51" s="159"/>
      <c r="G51" s="159"/>
    </row>
    <row r="52" spans="1:7" s="170" customFormat="1" x14ac:dyDescent="0.3">
      <c r="A52" s="244" t="s">
        <v>308</v>
      </c>
      <c r="B52" s="245">
        <f>SUMIF('Quadro Geral'!B:B,"PE",'Quadro Geral'!I:I)</f>
        <v>2754000</v>
      </c>
      <c r="C52" s="159"/>
      <c r="D52" s="159"/>
      <c r="E52" s="159"/>
      <c r="F52" s="159"/>
      <c r="G52" s="159"/>
    </row>
    <row r="53" spans="1:7" s="170" customFormat="1" x14ac:dyDescent="0.3">
      <c r="A53" s="244" t="s">
        <v>309</v>
      </c>
      <c r="B53" s="245">
        <f>B50-B51-B52</f>
        <v>13410580.91</v>
      </c>
      <c r="C53" s="159"/>
      <c r="D53" s="159"/>
      <c r="E53" s="159"/>
      <c r="F53" s="159"/>
      <c r="G53" s="159"/>
    </row>
    <row r="54" spans="1:7" s="170" customFormat="1" ht="31.2" x14ac:dyDescent="0.3">
      <c r="A54" s="244" t="s">
        <v>441</v>
      </c>
      <c r="B54" s="252">
        <f>IFERROR(B51/B50,)</f>
        <v>0.13127834331292171</v>
      </c>
      <c r="C54" s="159"/>
      <c r="D54" s="159"/>
      <c r="E54" s="159"/>
      <c r="F54" s="159"/>
      <c r="G54" s="159"/>
    </row>
    <row r="55" spans="1:7" s="170" customFormat="1" ht="31.2" x14ac:dyDescent="0.3">
      <c r="A55" s="244" t="s">
        <v>442</v>
      </c>
      <c r="B55" s="252">
        <f>IFERROR(B52/B50,)</f>
        <v>0.1480062771708576</v>
      </c>
      <c r="C55" s="159"/>
      <c r="D55" s="388"/>
      <c r="E55" s="159"/>
      <c r="F55" s="159"/>
      <c r="G55" s="159"/>
    </row>
    <row r="56" spans="1:7" s="170" customFormat="1" x14ac:dyDescent="0.3">
      <c r="A56" s="168" t="s">
        <v>310</v>
      </c>
      <c r="B56" s="169"/>
      <c r="C56" s="159"/>
      <c r="D56" s="159"/>
      <c r="E56" s="159"/>
      <c r="F56" s="159"/>
      <c r="G56" s="159"/>
    </row>
    <row r="57" spans="1:7" s="170" customFormat="1" x14ac:dyDescent="0.3">
      <c r="A57" s="159"/>
      <c r="B57" s="159"/>
      <c r="C57" s="159"/>
      <c r="D57" s="159"/>
      <c r="E57" s="159"/>
      <c r="F57" s="159"/>
      <c r="G57" s="159"/>
    </row>
    <row r="58" spans="1:7" s="170" customFormat="1" x14ac:dyDescent="0.3">
      <c r="A58" s="486" t="s">
        <v>227</v>
      </c>
      <c r="B58" s="487"/>
      <c r="C58" s="487"/>
      <c r="D58" s="487"/>
      <c r="E58" s="487"/>
      <c r="F58" s="487"/>
      <c r="G58" s="488"/>
    </row>
    <row r="59" spans="1:7" s="170" customFormat="1" ht="72" customHeight="1" x14ac:dyDescent="0.3">
      <c r="A59" s="489"/>
      <c r="B59" s="490"/>
      <c r="C59" s="490"/>
      <c r="D59" s="490"/>
      <c r="E59" s="490"/>
      <c r="F59" s="490"/>
      <c r="G59" s="491"/>
    </row>
  </sheetData>
  <mergeCells count="44">
    <mergeCell ref="A58:G58"/>
    <mergeCell ref="A59:G59"/>
    <mergeCell ref="E38:G38"/>
    <mergeCell ref="B38:D38"/>
    <mergeCell ref="A4:E4"/>
    <mergeCell ref="A37:G37"/>
    <mergeCell ref="A43:G43"/>
    <mergeCell ref="A32:B32"/>
    <mergeCell ref="A23:B23"/>
    <mergeCell ref="A12:B12"/>
    <mergeCell ref="A13:B13"/>
    <mergeCell ref="A14:B14"/>
    <mergeCell ref="A2:G2"/>
    <mergeCell ref="A3:G3"/>
    <mergeCell ref="E5:F5"/>
    <mergeCell ref="D5:D6"/>
    <mergeCell ref="A31:B31"/>
    <mergeCell ref="A5:B6"/>
    <mergeCell ref="A7:B7"/>
    <mergeCell ref="A24:B24"/>
    <mergeCell ref="A25:B25"/>
    <mergeCell ref="A26:B26"/>
    <mergeCell ref="A27:B27"/>
    <mergeCell ref="C5:C6"/>
    <mergeCell ref="A29:B29"/>
    <mergeCell ref="A17:B17"/>
    <mergeCell ref="A10:B10"/>
    <mergeCell ref="A11:B11"/>
    <mergeCell ref="A1:G1"/>
    <mergeCell ref="A33:B33"/>
    <mergeCell ref="A34:B34"/>
    <mergeCell ref="A35:B35"/>
    <mergeCell ref="A8:B8"/>
    <mergeCell ref="A9:B9"/>
    <mergeCell ref="A18:B18"/>
    <mergeCell ref="A19:B19"/>
    <mergeCell ref="A20:B20"/>
    <mergeCell ref="A21:B21"/>
    <mergeCell ref="A22:B22"/>
    <mergeCell ref="G5:G6"/>
    <mergeCell ref="A28:B28"/>
    <mergeCell ref="A30:B30"/>
    <mergeCell ref="A15:B15"/>
    <mergeCell ref="A16:B16"/>
  </mergeCells>
  <phoneticPr fontId="26" type="noConversion"/>
  <conditionalFormatting sqref="C36:F36">
    <cfRule type="cellIs" dxfId="17" priority="6" operator="equal">
      <formula>TRUE</formula>
    </cfRule>
  </conditionalFormatting>
  <conditionalFormatting sqref="J9:J18">
    <cfRule type="cellIs" dxfId="16" priority="4" operator="equal">
      <formula>TRUE</formula>
    </cfRule>
    <cfRule type="cellIs" dxfId="15" priority="5" operator="equal">
      <formula>FALSE</formula>
    </cfRule>
  </conditionalFormatting>
  <conditionalFormatting sqref="J23">
    <cfRule type="cellIs" dxfId="14" priority="1" operator="equal">
      <formula>FALSE</formula>
    </cfRule>
    <cfRule type="cellIs" dxfId="13" priority="2" operator="equal">
      <formula>TRUE</formula>
    </cfRule>
    <cfRule type="cellIs" dxfId="12" priority="3" operator="equal">
      <formula>FALSE</formula>
    </cfRule>
  </conditionalFormatting>
  <pageMargins left="0.23622047244094491" right="0.23622047244094491" top="0.74803149606299213" bottom="0.74803149606299213" header="0.31496062992125984" footer="0.31496062992125984"/>
  <pageSetup paperSize="9" scale="81" orientation="portrait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6">
    <tabColor rgb="FF2A5664"/>
  </sheetPr>
  <dimension ref="A1:WVM28"/>
  <sheetViews>
    <sheetView zoomScale="90" zoomScaleNormal="90" workbookViewId="0">
      <selection activeCell="H20" sqref="H20"/>
    </sheetView>
  </sheetViews>
  <sheetFormatPr defaultColWidth="0" defaultRowHeight="25.8" zeroHeight="1" x14ac:dyDescent="0.5"/>
  <cols>
    <col min="1" max="1" width="7.88671875" style="105" bestFit="1" customWidth="1"/>
    <col min="2" max="2" width="47.5546875" style="105" bestFit="1" customWidth="1"/>
    <col min="3" max="3" width="10.44140625" style="105" bestFit="1" customWidth="1"/>
    <col min="4" max="4" width="23.88671875" style="105" bestFit="1" customWidth="1"/>
    <col min="5" max="5" width="20.109375" style="105" bestFit="1" customWidth="1"/>
    <col min="6" max="6" width="14.44140625" style="105" bestFit="1" customWidth="1"/>
    <col min="7" max="7" width="14" style="105" customWidth="1"/>
    <col min="8" max="8" width="16.21875" style="105" customWidth="1"/>
    <col min="9" max="9" width="7.88671875" style="105" bestFit="1" customWidth="1"/>
    <col min="10" max="10" width="53" style="105" customWidth="1"/>
    <col min="11" max="11" width="10.44140625" style="105" bestFit="1" customWidth="1"/>
    <col min="12" max="12" width="23.88671875" style="105" bestFit="1" customWidth="1"/>
    <col min="13" max="13" width="20.109375" style="105" bestFit="1" customWidth="1"/>
    <col min="14" max="14" width="14.44140625" style="105" bestFit="1" customWidth="1"/>
    <col min="15" max="16" width="17.33203125" style="105" hidden="1" customWidth="1"/>
    <col min="17" max="246" width="9.109375" style="175" hidden="1"/>
    <col min="247" max="247" width="35.5546875" style="175" hidden="1"/>
    <col min="248" max="248" width="23" style="175" hidden="1"/>
    <col min="249" max="249" width="17.6640625" style="175" hidden="1"/>
    <col min="250" max="250" width="18.44140625" style="175" hidden="1"/>
    <col min="251" max="252" width="13.109375" style="175" hidden="1"/>
    <col min="253" max="253" width="10.6640625" style="175" hidden="1"/>
    <col min="254" max="254" width="40.88671875" style="175" hidden="1"/>
    <col min="255" max="255" width="34.109375" style="175" hidden="1"/>
    <col min="256" max="256" width="16" style="175" hidden="1"/>
    <col min="257" max="257" width="15.6640625" style="175" hidden="1"/>
    <col min="258" max="258" width="17.44140625" style="175" hidden="1"/>
    <col min="259" max="259" width="10.6640625" style="175" hidden="1"/>
    <col min="260" max="260" width="13" style="175" hidden="1"/>
    <col min="261" max="261" width="16.6640625" style="175" hidden="1"/>
    <col min="262" max="502" width="9.109375" style="175" hidden="1"/>
    <col min="503" max="503" width="35.5546875" style="175" hidden="1"/>
    <col min="504" max="504" width="23" style="175" hidden="1"/>
    <col min="505" max="505" width="17.6640625" style="175" hidden="1"/>
    <col min="506" max="506" width="18.44140625" style="175" hidden="1"/>
    <col min="507" max="508" width="13.109375" style="175" hidden="1"/>
    <col min="509" max="509" width="10.6640625" style="175" hidden="1"/>
    <col min="510" max="510" width="40.88671875" style="175" hidden="1"/>
    <col min="511" max="511" width="34.109375" style="175" hidden="1"/>
    <col min="512" max="512" width="16" style="175" hidden="1"/>
    <col min="513" max="513" width="15.6640625" style="175" hidden="1"/>
    <col min="514" max="514" width="17.44140625" style="175" hidden="1"/>
    <col min="515" max="515" width="10.6640625" style="175" hidden="1"/>
    <col min="516" max="516" width="13" style="175" hidden="1"/>
    <col min="517" max="517" width="16.6640625" style="175" hidden="1"/>
    <col min="518" max="758" width="9.109375" style="175" hidden="1"/>
    <col min="759" max="759" width="35.5546875" style="175" hidden="1"/>
    <col min="760" max="760" width="23" style="175" hidden="1"/>
    <col min="761" max="761" width="17.6640625" style="175" hidden="1"/>
    <col min="762" max="762" width="18.44140625" style="175" hidden="1"/>
    <col min="763" max="764" width="13.109375" style="175" hidden="1"/>
    <col min="765" max="765" width="10.6640625" style="175" hidden="1"/>
    <col min="766" max="766" width="40.88671875" style="175" hidden="1"/>
    <col min="767" max="767" width="34.109375" style="175" hidden="1"/>
    <col min="768" max="768" width="16" style="175" hidden="1"/>
    <col min="769" max="769" width="15.6640625" style="175" hidden="1"/>
    <col min="770" max="770" width="17.44140625" style="175" hidden="1"/>
    <col min="771" max="771" width="10.6640625" style="175" hidden="1"/>
    <col min="772" max="772" width="13" style="175" hidden="1"/>
    <col min="773" max="773" width="16.6640625" style="175" hidden="1"/>
    <col min="774" max="1014" width="9.109375" style="175" hidden="1"/>
    <col min="1015" max="1015" width="35.5546875" style="175" hidden="1"/>
    <col min="1016" max="1016" width="23" style="175" hidden="1"/>
    <col min="1017" max="1017" width="17.6640625" style="175" hidden="1"/>
    <col min="1018" max="1018" width="18.44140625" style="175" hidden="1"/>
    <col min="1019" max="1020" width="13.109375" style="175" hidden="1"/>
    <col min="1021" max="1021" width="10.6640625" style="175" hidden="1"/>
    <col min="1022" max="1022" width="40.88671875" style="175" hidden="1"/>
    <col min="1023" max="1023" width="34.109375" style="175" hidden="1"/>
    <col min="1024" max="1024" width="16" style="175" hidden="1"/>
    <col min="1025" max="1025" width="15.6640625" style="175" hidden="1"/>
    <col min="1026" max="1026" width="17.44140625" style="175" hidden="1"/>
    <col min="1027" max="1027" width="10.6640625" style="175" hidden="1"/>
    <col min="1028" max="1028" width="13" style="175" hidden="1"/>
    <col min="1029" max="1029" width="16.6640625" style="175" hidden="1"/>
    <col min="1030" max="1270" width="9.109375" style="175" hidden="1"/>
    <col min="1271" max="1271" width="35.5546875" style="175" hidden="1"/>
    <col min="1272" max="1272" width="23" style="175" hidden="1"/>
    <col min="1273" max="1273" width="17.6640625" style="175" hidden="1"/>
    <col min="1274" max="1274" width="18.44140625" style="175" hidden="1"/>
    <col min="1275" max="1276" width="13.109375" style="175" hidden="1"/>
    <col min="1277" max="1277" width="10.6640625" style="175" hidden="1"/>
    <col min="1278" max="1278" width="40.88671875" style="175" hidden="1"/>
    <col min="1279" max="1279" width="34.109375" style="175" hidden="1"/>
    <col min="1280" max="1280" width="16" style="175" hidden="1"/>
    <col min="1281" max="1281" width="15.6640625" style="175" hidden="1"/>
    <col min="1282" max="1282" width="17.44140625" style="175" hidden="1"/>
    <col min="1283" max="1283" width="10.6640625" style="175" hidden="1"/>
    <col min="1284" max="1284" width="13" style="175" hidden="1"/>
    <col min="1285" max="1285" width="16.6640625" style="175" hidden="1"/>
    <col min="1286" max="1526" width="9.109375" style="175" hidden="1"/>
    <col min="1527" max="1527" width="35.5546875" style="175" hidden="1"/>
    <col min="1528" max="1528" width="23" style="175" hidden="1"/>
    <col min="1529" max="1529" width="17.6640625" style="175" hidden="1"/>
    <col min="1530" max="1530" width="18.44140625" style="175" hidden="1"/>
    <col min="1531" max="1532" width="13.109375" style="175" hidden="1"/>
    <col min="1533" max="1533" width="10.6640625" style="175" hidden="1"/>
    <col min="1534" max="1534" width="40.88671875" style="175" hidden="1"/>
    <col min="1535" max="1535" width="34.109375" style="175" hidden="1"/>
    <col min="1536" max="1536" width="16" style="175" hidden="1"/>
    <col min="1537" max="1537" width="15.6640625" style="175" hidden="1"/>
    <col min="1538" max="1538" width="17.44140625" style="175" hidden="1"/>
    <col min="1539" max="1539" width="10.6640625" style="175" hidden="1"/>
    <col min="1540" max="1540" width="13" style="175" hidden="1"/>
    <col min="1541" max="1541" width="16.6640625" style="175" hidden="1"/>
    <col min="1542" max="1782" width="9.109375" style="175" hidden="1"/>
    <col min="1783" max="1783" width="35.5546875" style="175" hidden="1"/>
    <col min="1784" max="1784" width="23" style="175" hidden="1"/>
    <col min="1785" max="1785" width="17.6640625" style="175" hidden="1"/>
    <col min="1786" max="1786" width="18.44140625" style="175" hidden="1"/>
    <col min="1787" max="1788" width="13.109375" style="175" hidden="1"/>
    <col min="1789" max="1789" width="10.6640625" style="175" hidden="1"/>
    <col min="1790" max="1790" width="40.88671875" style="175" hidden="1"/>
    <col min="1791" max="1791" width="34.109375" style="175" hidden="1"/>
    <col min="1792" max="1792" width="16" style="175" hidden="1"/>
    <col min="1793" max="1793" width="15.6640625" style="175" hidden="1"/>
    <col min="1794" max="1794" width="17.44140625" style="175" hidden="1"/>
    <col min="1795" max="1795" width="10.6640625" style="175" hidden="1"/>
    <col min="1796" max="1796" width="13" style="175" hidden="1"/>
    <col min="1797" max="1797" width="16.6640625" style="175" hidden="1"/>
    <col min="1798" max="2038" width="9.109375" style="175" hidden="1"/>
    <col min="2039" max="2039" width="35.5546875" style="175" hidden="1"/>
    <col min="2040" max="2040" width="23" style="175" hidden="1"/>
    <col min="2041" max="2041" width="17.6640625" style="175" hidden="1"/>
    <col min="2042" max="2042" width="18.44140625" style="175" hidden="1"/>
    <col min="2043" max="2044" width="13.109375" style="175" hidden="1"/>
    <col min="2045" max="2045" width="10.6640625" style="175" hidden="1"/>
    <col min="2046" max="2046" width="40.88671875" style="175" hidden="1"/>
    <col min="2047" max="2047" width="34.109375" style="175" hidden="1"/>
    <col min="2048" max="2048" width="16" style="175" hidden="1"/>
    <col min="2049" max="2049" width="15.6640625" style="175" hidden="1"/>
    <col min="2050" max="2050" width="17.44140625" style="175" hidden="1"/>
    <col min="2051" max="2051" width="10.6640625" style="175" hidden="1"/>
    <col min="2052" max="2052" width="13" style="175" hidden="1"/>
    <col min="2053" max="2053" width="16.6640625" style="175" hidden="1"/>
    <col min="2054" max="2294" width="9.109375" style="175" hidden="1"/>
    <col min="2295" max="2295" width="35.5546875" style="175" hidden="1"/>
    <col min="2296" max="2296" width="23" style="175" hidden="1"/>
    <col min="2297" max="2297" width="17.6640625" style="175" hidden="1"/>
    <col min="2298" max="2298" width="18.44140625" style="175" hidden="1"/>
    <col min="2299" max="2300" width="13.109375" style="175" hidden="1"/>
    <col min="2301" max="2301" width="10.6640625" style="175" hidden="1"/>
    <col min="2302" max="2302" width="40.88671875" style="175" hidden="1"/>
    <col min="2303" max="2303" width="34.109375" style="175" hidden="1"/>
    <col min="2304" max="2304" width="16" style="175" hidden="1"/>
    <col min="2305" max="2305" width="15.6640625" style="175" hidden="1"/>
    <col min="2306" max="2306" width="17.44140625" style="175" hidden="1"/>
    <col min="2307" max="2307" width="10.6640625" style="175" hidden="1"/>
    <col min="2308" max="2308" width="13" style="175" hidden="1"/>
    <col min="2309" max="2309" width="16.6640625" style="175" hidden="1"/>
    <col min="2310" max="2550" width="9.109375" style="175" hidden="1"/>
    <col min="2551" max="2551" width="35.5546875" style="175" hidden="1"/>
    <col min="2552" max="2552" width="23" style="175" hidden="1"/>
    <col min="2553" max="2553" width="17.6640625" style="175" hidden="1"/>
    <col min="2554" max="2554" width="18.44140625" style="175" hidden="1"/>
    <col min="2555" max="2556" width="13.109375" style="175" hidden="1"/>
    <col min="2557" max="2557" width="10.6640625" style="175" hidden="1"/>
    <col min="2558" max="2558" width="40.88671875" style="175" hidden="1"/>
    <col min="2559" max="2559" width="34.109375" style="175" hidden="1"/>
    <col min="2560" max="2560" width="16" style="175" hidden="1"/>
    <col min="2561" max="2561" width="15.6640625" style="175" hidden="1"/>
    <col min="2562" max="2562" width="17.44140625" style="175" hidden="1"/>
    <col min="2563" max="2563" width="10.6640625" style="175" hidden="1"/>
    <col min="2564" max="2564" width="13" style="175" hidden="1"/>
    <col min="2565" max="2565" width="16.6640625" style="175" hidden="1"/>
    <col min="2566" max="2806" width="9.109375" style="175" hidden="1"/>
    <col min="2807" max="2807" width="35.5546875" style="175" hidden="1"/>
    <col min="2808" max="2808" width="23" style="175" hidden="1"/>
    <col min="2809" max="2809" width="17.6640625" style="175" hidden="1"/>
    <col min="2810" max="2810" width="18.44140625" style="175" hidden="1"/>
    <col min="2811" max="2812" width="13.109375" style="175" hidden="1"/>
    <col min="2813" max="2813" width="10.6640625" style="175" hidden="1"/>
    <col min="2814" max="2814" width="40.88671875" style="175" hidden="1"/>
    <col min="2815" max="2815" width="34.109375" style="175" hidden="1"/>
    <col min="2816" max="2816" width="16" style="175" hidden="1"/>
    <col min="2817" max="2817" width="15.6640625" style="175" hidden="1"/>
    <col min="2818" max="2818" width="17.44140625" style="175" hidden="1"/>
    <col min="2819" max="2819" width="10.6640625" style="175" hidden="1"/>
    <col min="2820" max="2820" width="13" style="175" hidden="1"/>
    <col min="2821" max="2821" width="16.6640625" style="175" hidden="1"/>
    <col min="2822" max="3062" width="9.109375" style="175" hidden="1"/>
    <col min="3063" max="3063" width="35.5546875" style="175" hidden="1"/>
    <col min="3064" max="3064" width="23" style="175" hidden="1"/>
    <col min="3065" max="3065" width="17.6640625" style="175" hidden="1"/>
    <col min="3066" max="3066" width="18.44140625" style="175" hidden="1"/>
    <col min="3067" max="3068" width="13.109375" style="175" hidden="1"/>
    <col min="3069" max="3069" width="10.6640625" style="175" hidden="1"/>
    <col min="3070" max="3070" width="40.88671875" style="175" hidden="1"/>
    <col min="3071" max="3071" width="34.109375" style="175" hidden="1"/>
    <col min="3072" max="3072" width="16" style="175" hidden="1"/>
    <col min="3073" max="3073" width="15.6640625" style="175" hidden="1"/>
    <col min="3074" max="3074" width="17.44140625" style="175" hidden="1"/>
    <col min="3075" max="3075" width="10.6640625" style="175" hidden="1"/>
    <col min="3076" max="3076" width="13" style="175" hidden="1"/>
    <col min="3077" max="3077" width="16.6640625" style="175" hidden="1"/>
    <col min="3078" max="3318" width="9.109375" style="175" hidden="1"/>
    <col min="3319" max="3319" width="35.5546875" style="175" hidden="1"/>
    <col min="3320" max="3320" width="23" style="175" hidden="1"/>
    <col min="3321" max="3321" width="17.6640625" style="175" hidden="1"/>
    <col min="3322" max="3322" width="18.44140625" style="175" hidden="1"/>
    <col min="3323" max="3324" width="13.109375" style="175" hidden="1"/>
    <col min="3325" max="3325" width="10.6640625" style="175" hidden="1"/>
    <col min="3326" max="3326" width="40.88671875" style="175" hidden="1"/>
    <col min="3327" max="3327" width="34.109375" style="175" hidden="1"/>
    <col min="3328" max="3328" width="16" style="175" hidden="1"/>
    <col min="3329" max="3329" width="15.6640625" style="175" hidden="1"/>
    <col min="3330" max="3330" width="17.44140625" style="175" hidden="1"/>
    <col min="3331" max="3331" width="10.6640625" style="175" hidden="1"/>
    <col min="3332" max="3332" width="13" style="175" hidden="1"/>
    <col min="3333" max="3333" width="16.6640625" style="175" hidden="1"/>
    <col min="3334" max="3574" width="9.109375" style="175" hidden="1"/>
    <col min="3575" max="3575" width="35.5546875" style="175" hidden="1"/>
    <col min="3576" max="3576" width="23" style="175" hidden="1"/>
    <col min="3577" max="3577" width="17.6640625" style="175" hidden="1"/>
    <col min="3578" max="3578" width="18.44140625" style="175" hidden="1"/>
    <col min="3579" max="3580" width="13.109375" style="175" hidden="1"/>
    <col min="3581" max="3581" width="10.6640625" style="175" hidden="1"/>
    <col min="3582" max="3582" width="40.88671875" style="175" hidden="1"/>
    <col min="3583" max="3583" width="34.109375" style="175" hidden="1"/>
    <col min="3584" max="3584" width="16" style="175" hidden="1"/>
    <col min="3585" max="3585" width="15.6640625" style="175" hidden="1"/>
    <col min="3586" max="3586" width="17.44140625" style="175" hidden="1"/>
    <col min="3587" max="3587" width="10.6640625" style="175" hidden="1"/>
    <col min="3588" max="3588" width="13" style="175" hidden="1"/>
    <col min="3589" max="3589" width="16.6640625" style="175" hidden="1"/>
    <col min="3590" max="3830" width="9.109375" style="175" hidden="1"/>
    <col min="3831" max="3831" width="35.5546875" style="175" hidden="1"/>
    <col min="3832" max="3832" width="23" style="175" hidden="1"/>
    <col min="3833" max="3833" width="17.6640625" style="175" hidden="1"/>
    <col min="3834" max="3834" width="18.44140625" style="175" hidden="1"/>
    <col min="3835" max="3836" width="13.109375" style="175" hidden="1"/>
    <col min="3837" max="3837" width="10.6640625" style="175" hidden="1"/>
    <col min="3838" max="3838" width="40.88671875" style="175" hidden="1"/>
    <col min="3839" max="3839" width="34.109375" style="175" hidden="1"/>
    <col min="3840" max="3840" width="16" style="175" hidden="1"/>
    <col min="3841" max="3841" width="15.6640625" style="175" hidden="1"/>
    <col min="3842" max="3842" width="17.44140625" style="175" hidden="1"/>
    <col min="3843" max="3843" width="10.6640625" style="175" hidden="1"/>
    <col min="3844" max="3844" width="13" style="175" hidden="1"/>
    <col min="3845" max="3845" width="16.6640625" style="175" hidden="1"/>
    <col min="3846" max="4086" width="9.109375" style="175" hidden="1"/>
    <col min="4087" max="4087" width="35.5546875" style="175" hidden="1"/>
    <col min="4088" max="4088" width="23" style="175" hidden="1"/>
    <col min="4089" max="4089" width="17.6640625" style="175" hidden="1"/>
    <col min="4090" max="4090" width="18.44140625" style="175" hidden="1"/>
    <col min="4091" max="4092" width="13.109375" style="175" hidden="1"/>
    <col min="4093" max="4093" width="10.6640625" style="175" hidden="1"/>
    <col min="4094" max="4094" width="40.88671875" style="175" hidden="1"/>
    <col min="4095" max="4095" width="34.109375" style="175" hidden="1"/>
    <col min="4096" max="4096" width="16" style="175" hidden="1"/>
    <col min="4097" max="4097" width="15.6640625" style="175" hidden="1"/>
    <col min="4098" max="4098" width="17.44140625" style="175" hidden="1"/>
    <col min="4099" max="4099" width="10.6640625" style="175" hidden="1"/>
    <col min="4100" max="4100" width="13" style="175" hidden="1"/>
    <col min="4101" max="4101" width="16.6640625" style="175" hidden="1"/>
    <col min="4102" max="4342" width="9.109375" style="175" hidden="1"/>
    <col min="4343" max="4343" width="35.5546875" style="175" hidden="1"/>
    <col min="4344" max="4344" width="23" style="175" hidden="1"/>
    <col min="4345" max="4345" width="17.6640625" style="175" hidden="1"/>
    <col min="4346" max="4346" width="18.44140625" style="175" hidden="1"/>
    <col min="4347" max="4348" width="13.109375" style="175" hidden="1"/>
    <col min="4349" max="4349" width="10.6640625" style="175" hidden="1"/>
    <col min="4350" max="4350" width="40.88671875" style="175" hidden="1"/>
    <col min="4351" max="4351" width="34.109375" style="175" hidden="1"/>
    <col min="4352" max="4352" width="16" style="175" hidden="1"/>
    <col min="4353" max="4353" width="15.6640625" style="175" hidden="1"/>
    <col min="4354" max="4354" width="17.44140625" style="175" hidden="1"/>
    <col min="4355" max="4355" width="10.6640625" style="175" hidden="1"/>
    <col min="4356" max="4356" width="13" style="175" hidden="1"/>
    <col min="4357" max="4357" width="16.6640625" style="175" hidden="1"/>
    <col min="4358" max="4598" width="9.109375" style="175" hidden="1"/>
    <col min="4599" max="4599" width="35.5546875" style="175" hidden="1"/>
    <col min="4600" max="4600" width="23" style="175" hidden="1"/>
    <col min="4601" max="4601" width="17.6640625" style="175" hidden="1"/>
    <col min="4602" max="4602" width="18.44140625" style="175" hidden="1"/>
    <col min="4603" max="4604" width="13.109375" style="175" hidden="1"/>
    <col min="4605" max="4605" width="10.6640625" style="175" hidden="1"/>
    <col min="4606" max="4606" width="40.88671875" style="175" hidden="1"/>
    <col min="4607" max="4607" width="34.109375" style="175" hidden="1"/>
    <col min="4608" max="4608" width="16" style="175" hidden="1"/>
    <col min="4609" max="4609" width="15.6640625" style="175" hidden="1"/>
    <col min="4610" max="4610" width="17.44140625" style="175" hidden="1"/>
    <col min="4611" max="4611" width="10.6640625" style="175" hidden="1"/>
    <col min="4612" max="4612" width="13" style="175" hidden="1"/>
    <col min="4613" max="4613" width="16.6640625" style="175" hidden="1"/>
    <col min="4614" max="4854" width="9.109375" style="175" hidden="1"/>
    <col min="4855" max="4855" width="35.5546875" style="175" hidden="1"/>
    <col min="4856" max="4856" width="23" style="175" hidden="1"/>
    <col min="4857" max="4857" width="17.6640625" style="175" hidden="1"/>
    <col min="4858" max="4858" width="18.44140625" style="175" hidden="1"/>
    <col min="4859" max="4860" width="13.109375" style="175" hidden="1"/>
    <col min="4861" max="4861" width="10.6640625" style="175" hidden="1"/>
    <col min="4862" max="4862" width="40.88671875" style="175" hidden="1"/>
    <col min="4863" max="4863" width="34.109375" style="175" hidden="1"/>
    <col min="4864" max="4864" width="16" style="175" hidden="1"/>
    <col min="4865" max="4865" width="15.6640625" style="175" hidden="1"/>
    <col min="4866" max="4866" width="17.44140625" style="175" hidden="1"/>
    <col min="4867" max="4867" width="10.6640625" style="175" hidden="1"/>
    <col min="4868" max="4868" width="13" style="175" hidden="1"/>
    <col min="4869" max="4869" width="16.6640625" style="175" hidden="1"/>
    <col min="4870" max="5110" width="9.109375" style="175" hidden="1"/>
    <col min="5111" max="5111" width="35.5546875" style="175" hidden="1"/>
    <col min="5112" max="5112" width="23" style="175" hidden="1"/>
    <col min="5113" max="5113" width="17.6640625" style="175" hidden="1"/>
    <col min="5114" max="5114" width="18.44140625" style="175" hidden="1"/>
    <col min="5115" max="5116" width="13.109375" style="175" hidden="1"/>
    <col min="5117" max="5117" width="10.6640625" style="175" hidden="1"/>
    <col min="5118" max="5118" width="40.88671875" style="175" hidden="1"/>
    <col min="5119" max="5119" width="34.109375" style="175" hidden="1"/>
    <col min="5120" max="5120" width="16" style="175" hidden="1"/>
    <col min="5121" max="5121" width="15.6640625" style="175" hidden="1"/>
    <col min="5122" max="5122" width="17.44140625" style="175" hidden="1"/>
    <col min="5123" max="5123" width="10.6640625" style="175" hidden="1"/>
    <col min="5124" max="5124" width="13" style="175" hidden="1"/>
    <col min="5125" max="5125" width="16.6640625" style="175" hidden="1"/>
    <col min="5126" max="5366" width="9.109375" style="175" hidden="1"/>
    <col min="5367" max="5367" width="35.5546875" style="175" hidden="1"/>
    <col min="5368" max="5368" width="23" style="175" hidden="1"/>
    <col min="5369" max="5369" width="17.6640625" style="175" hidden="1"/>
    <col min="5370" max="5370" width="18.44140625" style="175" hidden="1"/>
    <col min="5371" max="5372" width="13.109375" style="175" hidden="1"/>
    <col min="5373" max="5373" width="10.6640625" style="175" hidden="1"/>
    <col min="5374" max="5374" width="40.88671875" style="175" hidden="1"/>
    <col min="5375" max="5375" width="34.109375" style="175" hidden="1"/>
    <col min="5376" max="5376" width="16" style="175" hidden="1"/>
    <col min="5377" max="5377" width="15.6640625" style="175" hidden="1"/>
    <col min="5378" max="5378" width="17.44140625" style="175" hidden="1"/>
    <col min="5379" max="5379" width="10.6640625" style="175" hidden="1"/>
    <col min="5380" max="5380" width="13" style="175" hidden="1"/>
    <col min="5381" max="5381" width="16.6640625" style="175" hidden="1"/>
    <col min="5382" max="5622" width="9.109375" style="175" hidden="1"/>
    <col min="5623" max="5623" width="35.5546875" style="175" hidden="1"/>
    <col min="5624" max="5624" width="23" style="175" hidden="1"/>
    <col min="5625" max="5625" width="17.6640625" style="175" hidden="1"/>
    <col min="5626" max="5626" width="18.44140625" style="175" hidden="1"/>
    <col min="5627" max="5628" width="13.109375" style="175" hidden="1"/>
    <col min="5629" max="5629" width="10.6640625" style="175" hidden="1"/>
    <col min="5630" max="5630" width="40.88671875" style="175" hidden="1"/>
    <col min="5631" max="5631" width="34.109375" style="175" hidden="1"/>
    <col min="5632" max="5632" width="16" style="175" hidden="1"/>
    <col min="5633" max="5633" width="15.6640625" style="175" hidden="1"/>
    <col min="5634" max="5634" width="17.44140625" style="175" hidden="1"/>
    <col min="5635" max="5635" width="10.6640625" style="175" hidden="1"/>
    <col min="5636" max="5636" width="13" style="175" hidden="1"/>
    <col min="5637" max="5637" width="16.6640625" style="175" hidden="1"/>
    <col min="5638" max="5878" width="9.109375" style="175" hidden="1"/>
    <col min="5879" max="5879" width="35.5546875" style="175" hidden="1"/>
    <col min="5880" max="5880" width="23" style="175" hidden="1"/>
    <col min="5881" max="5881" width="17.6640625" style="175" hidden="1"/>
    <col min="5882" max="5882" width="18.44140625" style="175" hidden="1"/>
    <col min="5883" max="5884" width="13.109375" style="175" hidden="1"/>
    <col min="5885" max="5885" width="10.6640625" style="175" hidden="1"/>
    <col min="5886" max="5886" width="40.88671875" style="175" hidden="1"/>
    <col min="5887" max="5887" width="34.109375" style="175" hidden="1"/>
    <col min="5888" max="5888" width="16" style="175" hidden="1"/>
    <col min="5889" max="5889" width="15.6640625" style="175" hidden="1"/>
    <col min="5890" max="5890" width="17.44140625" style="175" hidden="1"/>
    <col min="5891" max="5891" width="10.6640625" style="175" hidden="1"/>
    <col min="5892" max="5892" width="13" style="175" hidden="1"/>
    <col min="5893" max="5893" width="16.6640625" style="175" hidden="1"/>
    <col min="5894" max="6134" width="9.109375" style="175" hidden="1"/>
    <col min="6135" max="6135" width="35.5546875" style="175" hidden="1"/>
    <col min="6136" max="6136" width="23" style="175" hidden="1"/>
    <col min="6137" max="6137" width="17.6640625" style="175" hidden="1"/>
    <col min="6138" max="6138" width="18.44140625" style="175" hidden="1"/>
    <col min="6139" max="6140" width="13.109375" style="175" hidden="1"/>
    <col min="6141" max="6141" width="10.6640625" style="175" hidden="1"/>
    <col min="6142" max="6142" width="40.88671875" style="175" hidden="1"/>
    <col min="6143" max="6143" width="34.109375" style="175" hidden="1"/>
    <col min="6144" max="6144" width="16" style="175" hidden="1"/>
    <col min="6145" max="6145" width="15.6640625" style="175" hidden="1"/>
    <col min="6146" max="6146" width="17.44140625" style="175" hidden="1"/>
    <col min="6147" max="6147" width="10.6640625" style="175" hidden="1"/>
    <col min="6148" max="6148" width="13" style="175" hidden="1"/>
    <col min="6149" max="6149" width="16.6640625" style="175" hidden="1"/>
    <col min="6150" max="6390" width="9.109375" style="175" hidden="1"/>
    <col min="6391" max="6391" width="35.5546875" style="175" hidden="1"/>
    <col min="6392" max="6392" width="23" style="175" hidden="1"/>
    <col min="6393" max="6393" width="17.6640625" style="175" hidden="1"/>
    <col min="6394" max="6394" width="18.44140625" style="175" hidden="1"/>
    <col min="6395" max="6396" width="13.109375" style="175" hidden="1"/>
    <col min="6397" max="6397" width="10.6640625" style="175" hidden="1"/>
    <col min="6398" max="6398" width="40.88671875" style="175" hidden="1"/>
    <col min="6399" max="6399" width="34.109375" style="175" hidden="1"/>
    <col min="6400" max="6400" width="16" style="175" hidden="1"/>
    <col min="6401" max="6401" width="15.6640625" style="175" hidden="1"/>
    <col min="6402" max="6402" width="17.44140625" style="175" hidden="1"/>
    <col min="6403" max="6403" width="10.6640625" style="175" hidden="1"/>
    <col min="6404" max="6404" width="13" style="175" hidden="1"/>
    <col min="6405" max="6405" width="16.6640625" style="175" hidden="1"/>
    <col min="6406" max="6646" width="9.109375" style="175" hidden="1"/>
    <col min="6647" max="6647" width="35.5546875" style="175" hidden="1"/>
    <col min="6648" max="6648" width="23" style="175" hidden="1"/>
    <col min="6649" max="6649" width="17.6640625" style="175" hidden="1"/>
    <col min="6650" max="6650" width="18.44140625" style="175" hidden="1"/>
    <col min="6651" max="6652" width="13.109375" style="175" hidden="1"/>
    <col min="6653" max="6653" width="10.6640625" style="175" hidden="1"/>
    <col min="6654" max="6654" width="40.88671875" style="175" hidden="1"/>
    <col min="6655" max="6655" width="34.109375" style="175" hidden="1"/>
    <col min="6656" max="6656" width="16" style="175" hidden="1"/>
    <col min="6657" max="6657" width="15.6640625" style="175" hidden="1"/>
    <col min="6658" max="6658" width="17.44140625" style="175" hidden="1"/>
    <col min="6659" max="6659" width="10.6640625" style="175" hidden="1"/>
    <col min="6660" max="6660" width="13" style="175" hidden="1"/>
    <col min="6661" max="6661" width="16.6640625" style="175" hidden="1"/>
    <col min="6662" max="6902" width="9.109375" style="175" hidden="1"/>
    <col min="6903" max="6903" width="35.5546875" style="175" hidden="1"/>
    <col min="6904" max="6904" width="23" style="175" hidden="1"/>
    <col min="6905" max="6905" width="17.6640625" style="175" hidden="1"/>
    <col min="6906" max="6906" width="18.44140625" style="175" hidden="1"/>
    <col min="6907" max="6908" width="13.109375" style="175" hidden="1"/>
    <col min="6909" max="6909" width="10.6640625" style="175" hidden="1"/>
    <col min="6910" max="6910" width="40.88671875" style="175" hidden="1"/>
    <col min="6911" max="6911" width="34.109375" style="175" hidden="1"/>
    <col min="6912" max="6912" width="16" style="175" hidden="1"/>
    <col min="6913" max="6913" width="15.6640625" style="175" hidden="1"/>
    <col min="6914" max="6914" width="17.44140625" style="175" hidden="1"/>
    <col min="6915" max="6915" width="10.6640625" style="175" hidden="1"/>
    <col min="6916" max="6916" width="13" style="175" hidden="1"/>
    <col min="6917" max="6917" width="16.6640625" style="175" hidden="1"/>
    <col min="6918" max="7158" width="9.109375" style="175" hidden="1"/>
    <col min="7159" max="7159" width="35.5546875" style="175" hidden="1"/>
    <col min="7160" max="7160" width="23" style="175" hidden="1"/>
    <col min="7161" max="7161" width="17.6640625" style="175" hidden="1"/>
    <col min="7162" max="7162" width="18.44140625" style="175" hidden="1"/>
    <col min="7163" max="7164" width="13.109375" style="175" hidden="1"/>
    <col min="7165" max="7165" width="10.6640625" style="175" hidden="1"/>
    <col min="7166" max="7166" width="40.88671875" style="175" hidden="1"/>
    <col min="7167" max="7167" width="34.109375" style="175" hidden="1"/>
    <col min="7168" max="7168" width="16" style="175" hidden="1"/>
    <col min="7169" max="7169" width="15.6640625" style="175" hidden="1"/>
    <col min="7170" max="7170" width="17.44140625" style="175" hidden="1"/>
    <col min="7171" max="7171" width="10.6640625" style="175" hidden="1"/>
    <col min="7172" max="7172" width="13" style="175" hidden="1"/>
    <col min="7173" max="7173" width="16.6640625" style="175" hidden="1"/>
    <col min="7174" max="7414" width="9.109375" style="175" hidden="1"/>
    <col min="7415" max="7415" width="35.5546875" style="175" hidden="1"/>
    <col min="7416" max="7416" width="23" style="175" hidden="1"/>
    <col min="7417" max="7417" width="17.6640625" style="175" hidden="1"/>
    <col min="7418" max="7418" width="18.44140625" style="175" hidden="1"/>
    <col min="7419" max="7420" width="13.109375" style="175" hidden="1"/>
    <col min="7421" max="7421" width="10.6640625" style="175" hidden="1"/>
    <col min="7422" max="7422" width="40.88671875" style="175" hidden="1"/>
    <col min="7423" max="7423" width="34.109375" style="175" hidden="1"/>
    <col min="7424" max="7424" width="16" style="175" hidden="1"/>
    <col min="7425" max="7425" width="15.6640625" style="175" hidden="1"/>
    <col min="7426" max="7426" width="17.44140625" style="175" hidden="1"/>
    <col min="7427" max="7427" width="10.6640625" style="175" hidden="1"/>
    <col min="7428" max="7428" width="13" style="175" hidden="1"/>
    <col min="7429" max="7429" width="16.6640625" style="175" hidden="1"/>
    <col min="7430" max="7670" width="9.109375" style="175" hidden="1"/>
    <col min="7671" max="7671" width="35.5546875" style="175" hidden="1"/>
    <col min="7672" max="7672" width="23" style="175" hidden="1"/>
    <col min="7673" max="7673" width="17.6640625" style="175" hidden="1"/>
    <col min="7674" max="7674" width="18.44140625" style="175" hidden="1"/>
    <col min="7675" max="7676" width="13.109375" style="175" hidden="1"/>
    <col min="7677" max="7677" width="10.6640625" style="175" hidden="1"/>
    <col min="7678" max="7678" width="40.88671875" style="175" hidden="1"/>
    <col min="7679" max="7679" width="34.109375" style="175" hidden="1"/>
    <col min="7680" max="7680" width="16" style="175" hidden="1"/>
    <col min="7681" max="7681" width="15.6640625" style="175" hidden="1"/>
    <col min="7682" max="7682" width="17.44140625" style="175" hidden="1"/>
    <col min="7683" max="7683" width="10.6640625" style="175" hidden="1"/>
    <col min="7684" max="7684" width="13" style="175" hidden="1"/>
    <col min="7685" max="7685" width="16.6640625" style="175" hidden="1"/>
    <col min="7686" max="7926" width="9.109375" style="175" hidden="1"/>
    <col min="7927" max="7927" width="35.5546875" style="175" hidden="1"/>
    <col min="7928" max="7928" width="23" style="175" hidden="1"/>
    <col min="7929" max="7929" width="17.6640625" style="175" hidden="1"/>
    <col min="7930" max="7930" width="18.44140625" style="175" hidden="1"/>
    <col min="7931" max="7932" width="13.109375" style="175" hidden="1"/>
    <col min="7933" max="7933" width="10.6640625" style="175" hidden="1"/>
    <col min="7934" max="7934" width="40.88671875" style="175" hidden="1"/>
    <col min="7935" max="7935" width="34.109375" style="175" hidden="1"/>
    <col min="7936" max="7936" width="16" style="175" hidden="1"/>
    <col min="7937" max="7937" width="15.6640625" style="175" hidden="1"/>
    <col min="7938" max="7938" width="17.44140625" style="175" hidden="1"/>
    <col min="7939" max="7939" width="10.6640625" style="175" hidden="1"/>
    <col min="7940" max="7940" width="13" style="175" hidden="1"/>
    <col min="7941" max="7941" width="16.6640625" style="175" hidden="1"/>
    <col min="7942" max="8182" width="9.109375" style="175" hidden="1"/>
    <col min="8183" max="8183" width="35.5546875" style="175" hidden="1"/>
    <col min="8184" max="8184" width="23" style="175" hidden="1"/>
    <col min="8185" max="8185" width="17.6640625" style="175" hidden="1"/>
    <col min="8186" max="8186" width="18.44140625" style="175" hidden="1"/>
    <col min="8187" max="8188" width="13.109375" style="175" hidden="1"/>
    <col min="8189" max="8189" width="10.6640625" style="175" hidden="1"/>
    <col min="8190" max="8190" width="40.88671875" style="175" hidden="1"/>
    <col min="8191" max="8191" width="34.109375" style="175" hidden="1"/>
    <col min="8192" max="8192" width="16" style="175" hidden="1"/>
    <col min="8193" max="8193" width="15.6640625" style="175" hidden="1"/>
    <col min="8194" max="8194" width="17.44140625" style="175" hidden="1"/>
    <col min="8195" max="8195" width="10.6640625" style="175" hidden="1"/>
    <col min="8196" max="8196" width="13" style="175" hidden="1"/>
    <col min="8197" max="8197" width="16.6640625" style="175" hidden="1"/>
    <col min="8198" max="8438" width="9.109375" style="175" hidden="1"/>
    <col min="8439" max="8439" width="35.5546875" style="175" hidden="1"/>
    <col min="8440" max="8440" width="23" style="175" hidden="1"/>
    <col min="8441" max="8441" width="17.6640625" style="175" hidden="1"/>
    <col min="8442" max="8442" width="18.44140625" style="175" hidden="1"/>
    <col min="8443" max="8444" width="13.109375" style="175" hidden="1"/>
    <col min="8445" max="8445" width="10.6640625" style="175" hidden="1"/>
    <col min="8446" max="8446" width="40.88671875" style="175" hidden="1"/>
    <col min="8447" max="8447" width="34.109375" style="175" hidden="1"/>
    <col min="8448" max="8448" width="16" style="175" hidden="1"/>
    <col min="8449" max="8449" width="15.6640625" style="175" hidden="1"/>
    <col min="8450" max="8450" width="17.44140625" style="175" hidden="1"/>
    <col min="8451" max="8451" width="10.6640625" style="175" hidden="1"/>
    <col min="8452" max="8452" width="13" style="175" hidden="1"/>
    <col min="8453" max="8453" width="16.6640625" style="175" hidden="1"/>
    <col min="8454" max="8694" width="9.109375" style="175" hidden="1"/>
    <col min="8695" max="8695" width="35.5546875" style="175" hidden="1"/>
    <col min="8696" max="8696" width="23" style="175" hidden="1"/>
    <col min="8697" max="8697" width="17.6640625" style="175" hidden="1"/>
    <col min="8698" max="8698" width="18.44140625" style="175" hidden="1"/>
    <col min="8699" max="8700" width="13.109375" style="175" hidden="1"/>
    <col min="8701" max="8701" width="10.6640625" style="175" hidden="1"/>
    <col min="8702" max="8702" width="40.88671875" style="175" hidden="1"/>
    <col min="8703" max="8703" width="34.109375" style="175" hidden="1"/>
    <col min="8704" max="8704" width="16" style="175" hidden="1"/>
    <col min="8705" max="8705" width="15.6640625" style="175" hidden="1"/>
    <col min="8706" max="8706" width="17.44140625" style="175" hidden="1"/>
    <col min="8707" max="8707" width="10.6640625" style="175" hidden="1"/>
    <col min="8708" max="8708" width="13" style="175" hidden="1"/>
    <col min="8709" max="8709" width="16.6640625" style="175" hidden="1"/>
    <col min="8710" max="8950" width="9.109375" style="175" hidden="1"/>
    <col min="8951" max="8951" width="35.5546875" style="175" hidden="1"/>
    <col min="8952" max="8952" width="23" style="175" hidden="1"/>
    <col min="8953" max="8953" width="17.6640625" style="175" hidden="1"/>
    <col min="8954" max="8954" width="18.44140625" style="175" hidden="1"/>
    <col min="8955" max="8956" width="13.109375" style="175" hidden="1"/>
    <col min="8957" max="8957" width="10.6640625" style="175" hidden="1"/>
    <col min="8958" max="8958" width="40.88671875" style="175" hidden="1"/>
    <col min="8959" max="8959" width="34.109375" style="175" hidden="1"/>
    <col min="8960" max="8960" width="16" style="175" hidden="1"/>
    <col min="8961" max="8961" width="15.6640625" style="175" hidden="1"/>
    <col min="8962" max="8962" width="17.44140625" style="175" hidden="1"/>
    <col min="8963" max="8963" width="10.6640625" style="175" hidden="1"/>
    <col min="8964" max="8964" width="13" style="175" hidden="1"/>
    <col min="8965" max="8965" width="16.6640625" style="175" hidden="1"/>
    <col min="8966" max="9206" width="9.109375" style="175" hidden="1"/>
    <col min="9207" max="9207" width="35.5546875" style="175" hidden="1"/>
    <col min="9208" max="9208" width="23" style="175" hidden="1"/>
    <col min="9209" max="9209" width="17.6640625" style="175" hidden="1"/>
    <col min="9210" max="9210" width="18.44140625" style="175" hidden="1"/>
    <col min="9211" max="9212" width="13.109375" style="175" hidden="1"/>
    <col min="9213" max="9213" width="10.6640625" style="175" hidden="1"/>
    <col min="9214" max="9214" width="40.88671875" style="175" hidden="1"/>
    <col min="9215" max="9215" width="34.109375" style="175" hidden="1"/>
    <col min="9216" max="9216" width="16" style="175" hidden="1"/>
    <col min="9217" max="9217" width="15.6640625" style="175" hidden="1"/>
    <col min="9218" max="9218" width="17.44140625" style="175" hidden="1"/>
    <col min="9219" max="9219" width="10.6640625" style="175" hidden="1"/>
    <col min="9220" max="9220" width="13" style="175" hidden="1"/>
    <col min="9221" max="9221" width="16.6640625" style="175" hidden="1"/>
    <col min="9222" max="9462" width="9.109375" style="175" hidden="1"/>
    <col min="9463" max="9463" width="35.5546875" style="175" hidden="1"/>
    <col min="9464" max="9464" width="23" style="175" hidden="1"/>
    <col min="9465" max="9465" width="17.6640625" style="175" hidden="1"/>
    <col min="9466" max="9466" width="18.44140625" style="175" hidden="1"/>
    <col min="9467" max="9468" width="13.109375" style="175" hidden="1"/>
    <col min="9469" max="9469" width="10.6640625" style="175" hidden="1"/>
    <col min="9470" max="9470" width="40.88671875" style="175" hidden="1"/>
    <col min="9471" max="9471" width="34.109375" style="175" hidden="1"/>
    <col min="9472" max="9472" width="16" style="175" hidden="1"/>
    <col min="9473" max="9473" width="15.6640625" style="175" hidden="1"/>
    <col min="9474" max="9474" width="17.44140625" style="175" hidden="1"/>
    <col min="9475" max="9475" width="10.6640625" style="175" hidden="1"/>
    <col min="9476" max="9476" width="13" style="175" hidden="1"/>
    <col min="9477" max="9477" width="16.6640625" style="175" hidden="1"/>
    <col min="9478" max="9718" width="9.109375" style="175" hidden="1"/>
    <col min="9719" max="9719" width="35.5546875" style="175" hidden="1"/>
    <col min="9720" max="9720" width="23" style="175" hidden="1"/>
    <col min="9721" max="9721" width="17.6640625" style="175" hidden="1"/>
    <col min="9722" max="9722" width="18.44140625" style="175" hidden="1"/>
    <col min="9723" max="9724" width="13.109375" style="175" hidden="1"/>
    <col min="9725" max="9725" width="10.6640625" style="175" hidden="1"/>
    <col min="9726" max="9726" width="40.88671875" style="175" hidden="1"/>
    <col min="9727" max="9727" width="34.109375" style="175" hidden="1"/>
    <col min="9728" max="9728" width="16" style="175" hidden="1"/>
    <col min="9729" max="9729" width="15.6640625" style="175" hidden="1"/>
    <col min="9730" max="9730" width="17.44140625" style="175" hidden="1"/>
    <col min="9731" max="9731" width="10.6640625" style="175" hidden="1"/>
    <col min="9732" max="9732" width="13" style="175" hidden="1"/>
    <col min="9733" max="9733" width="16.6640625" style="175" hidden="1"/>
    <col min="9734" max="9974" width="9.109375" style="175" hidden="1"/>
    <col min="9975" max="9975" width="35.5546875" style="175" hidden="1"/>
    <col min="9976" max="9976" width="23" style="175" hidden="1"/>
    <col min="9977" max="9977" width="17.6640625" style="175" hidden="1"/>
    <col min="9978" max="9978" width="18.44140625" style="175" hidden="1"/>
    <col min="9979" max="9980" width="13.109375" style="175" hidden="1"/>
    <col min="9981" max="9981" width="10.6640625" style="175" hidden="1"/>
    <col min="9982" max="9982" width="40.88671875" style="175" hidden="1"/>
    <col min="9983" max="9983" width="34.109375" style="175" hidden="1"/>
    <col min="9984" max="9984" width="16" style="175" hidden="1"/>
    <col min="9985" max="9985" width="15.6640625" style="175" hidden="1"/>
    <col min="9986" max="9986" width="17.44140625" style="175" hidden="1"/>
    <col min="9987" max="9987" width="10.6640625" style="175" hidden="1"/>
    <col min="9988" max="9988" width="13" style="175" hidden="1"/>
    <col min="9989" max="9989" width="16.6640625" style="175" hidden="1"/>
    <col min="9990" max="10230" width="9.109375" style="175" hidden="1"/>
    <col min="10231" max="10231" width="35.5546875" style="175" hidden="1"/>
    <col min="10232" max="10232" width="23" style="175" hidden="1"/>
    <col min="10233" max="10233" width="17.6640625" style="175" hidden="1"/>
    <col min="10234" max="10234" width="18.44140625" style="175" hidden="1"/>
    <col min="10235" max="10236" width="13.109375" style="175" hidden="1"/>
    <col min="10237" max="10237" width="10.6640625" style="175" hidden="1"/>
    <col min="10238" max="10238" width="40.88671875" style="175" hidden="1"/>
    <col min="10239" max="10239" width="34.109375" style="175" hidden="1"/>
    <col min="10240" max="10240" width="16" style="175" hidden="1"/>
    <col min="10241" max="10241" width="15.6640625" style="175" hidden="1"/>
    <col min="10242" max="10242" width="17.44140625" style="175" hidden="1"/>
    <col min="10243" max="10243" width="10.6640625" style="175" hidden="1"/>
    <col min="10244" max="10244" width="13" style="175" hidden="1"/>
    <col min="10245" max="10245" width="16.6640625" style="175" hidden="1"/>
    <col min="10246" max="10486" width="9.109375" style="175" hidden="1"/>
    <col min="10487" max="10487" width="35.5546875" style="175" hidden="1"/>
    <col min="10488" max="10488" width="23" style="175" hidden="1"/>
    <col min="10489" max="10489" width="17.6640625" style="175" hidden="1"/>
    <col min="10490" max="10490" width="18.44140625" style="175" hidden="1"/>
    <col min="10491" max="10492" width="13.109375" style="175" hidden="1"/>
    <col min="10493" max="10493" width="10.6640625" style="175" hidden="1"/>
    <col min="10494" max="10494" width="40.88671875" style="175" hidden="1"/>
    <col min="10495" max="10495" width="34.109375" style="175" hidden="1"/>
    <col min="10496" max="10496" width="16" style="175" hidden="1"/>
    <col min="10497" max="10497" width="15.6640625" style="175" hidden="1"/>
    <col min="10498" max="10498" width="17.44140625" style="175" hidden="1"/>
    <col min="10499" max="10499" width="10.6640625" style="175" hidden="1"/>
    <col min="10500" max="10500" width="13" style="175" hidden="1"/>
    <col min="10501" max="10501" width="16.6640625" style="175" hidden="1"/>
    <col min="10502" max="10742" width="9.109375" style="175" hidden="1"/>
    <col min="10743" max="10743" width="35.5546875" style="175" hidden="1"/>
    <col min="10744" max="10744" width="23" style="175" hidden="1"/>
    <col min="10745" max="10745" width="17.6640625" style="175" hidden="1"/>
    <col min="10746" max="10746" width="18.44140625" style="175" hidden="1"/>
    <col min="10747" max="10748" width="13.109375" style="175" hidden="1"/>
    <col min="10749" max="10749" width="10.6640625" style="175" hidden="1"/>
    <col min="10750" max="10750" width="40.88671875" style="175" hidden="1"/>
    <col min="10751" max="10751" width="34.109375" style="175" hidden="1"/>
    <col min="10752" max="10752" width="16" style="175" hidden="1"/>
    <col min="10753" max="10753" width="15.6640625" style="175" hidden="1"/>
    <col min="10754" max="10754" width="17.44140625" style="175" hidden="1"/>
    <col min="10755" max="10755" width="10.6640625" style="175" hidden="1"/>
    <col min="10756" max="10756" width="13" style="175" hidden="1"/>
    <col min="10757" max="10757" width="16.6640625" style="175" hidden="1"/>
    <col min="10758" max="10998" width="9.109375" style="175" hidden="1"/>
    <col min="10999" max="10999" width="35.5546875" style="175" hidden="1"/>
    <col min="11000" max="11000" width="23" style="175" hidden="1"/>
    <col min="11001" max="11001" width="17.6640625" style="175" hidden="1"/>
    <col min="11002" max="11002" width="18.44140625" style="175" hidden="1"/>
    <col min="11003" max="11004" width="13.109375" style="175" hidden="1"/>
    <col min="11005" max="11005" width="10.6640625" style="175" hidden="1"/>
    <col min="11006" max="11006" width="40.88671875" style="175" hidden="1"/>
    <col min="11007" max="11007" width="34.109375" style="175" hidden="1"/>
    <col min="11008" max="11008" width="16" style="175" hidden="1"/>
    <col min="11009" max="11009" width="15.6640625" style="175" hidden="1"/>
    <col min="11010" max="11010" width="17.44140625" style="175" hidden="1"/>
    <col min="11011" max="11011" width="10.6640625" style="175" hidden="1"/>
    <col min="11012" max="11012" width="13" style="175" hidden="1"/>
    <col min="11013" max="11013" width="16.6640625" style="175" hidden="1"/>
    <col min="11014" max="11254" width="9.109375" style="175" hidden="1"/>
    <col min="11255" max="11255" width="35.5546875" style="175" hidden="1"/>
    <col min="11256" max="11256" width="23" style="175" hidden="1"/>
    <col min="11257" max="11257" width="17.6640625" style="175" hidden="1"/>
    <col min="11258" max="11258" width="18.44140625" style="175" hidden="1"/>
    <col min="11259" max="11260" width="13.109375" style="175" hidden="1"/>
    <col min="11261" max="11261" width="10.6640625" style="175" hidden="1"/>
    <col min="11262" max="11262" width="40.88671875" style="175" hidden="1"/>
    <col min="11263" max="11263" width="34.109375" style="175" hidden="1"/>
    <col min="11264" max="11264" width="16" style="175" hidden="1"/>
    <col min="11265" max="11265" width="15.6640625" style="175" hidden="1"/>
    <col min="11266" max="11266" width="17.44140625" style="175" hidden="1"/>
    <col min="11267" max="11267" width="10.6640625" style="175" hidden="1"/>
    <col min="11268" max="11268" width="13" style="175" hidden="1"/>
    <col min="11269" max="11269" width="16.6640625" style="175" hidden="1"/>
    <col min="11270" max="11510" width="9.109375" style="175" hidden="1"/>
    <col min="11511" max="11511" width="35.5546875" style="175" hidden="1"/>
    <col min="11512" max="11512" width="23" style="175" hidden="1"/>
    <col min="11513" max="11513" width="17.6640625" style="175" hidden="1"/>
    <col min="11514" max="11514" width="18.44140625" style="175" hidden="1"/>
    <col min="11515" max="11516" width="13.109375" style="175" hidden="1"/>
    <col min="11517" max="11517" width="10.6640625" style="175" hidden="1"/>
    <col min="11518" max="11518" width="40.88671875" style="175" hidden="1"/>
    <col min="11519" max="11519" width="34.109375" style="175" hidden="1"/>
    <col min="11520" max="11520" width="16" style="175" hidden="1"/>
    <col min="11521" max="11521" width="15.6640625" style="175" hidden="1"/>
    <col min="11522" max="11522" width="17.44140625" style="175" hidden="1"/>
    <col min="11523" max="11523" width="10.6640625" style="175" hidden="1"/>
    <col min="11524" max="11524" width="13" style="175" hidden="1"/>
    <col min="11525" max="11525" width="16.6640625" style="175" hidden="1"/>
    <col min="11526" max="11766" width="9.109375" style="175" hidden="1"/>
    <col min="11767" max="11767" width="35.5546875" style="175" hidden="1"/>
    <col min="11768" max="11768" width="23" style="175" hidden="1"/>
    <col min="11769" max="11769" width="17.6640625" style="175" hidden="1"/>
    <col min="11770" max="11770" width="18.44140625" style="175" hidden="1"/>
    <col min="11771" max="11772" width="13.109375" style="175" hidden="1"/>
    <col min="11773" max="11773" width="10.6640625" style="175" hidden="1"/>
    <col min="11774" max="11774" width="40.88671875" style="175" hidden="1"/>
    <col min="11775" max="11775" width="34.109375" style="175" hidden="1"/>
    <col min="11776" max="11776" width="16" style="175" hidden="1"/>
    <col min="11777" max="11777" width="15.6640625" style="175" hidden="1"/>
    <col min="11778" max="11778" width="17.44140625" style="175" hidden="1"/>
    <col min="11779" max="11779" width="10.6640625" style="175" hidden="1"/>
    <col min="11780" max="11780" width="13" style="175" hidden="1"/>
    <col min="11781" max="11781" width="16.6640625" style="175" hidden="1"/>
    <col min="11782" max="12022" width="9.109375" style="175" hidden="1"/>
    <col min="12023" max="12023" width="35.5546875" style="175" hidden="1"/>
    <col min="12024" max="12024" width="23" style="175" hidden="1"/>
    <col min="12025" max="12025" width="17.6640625" style="175" hidden="1"/>
    <col min="12026" max="12026" width="18.44140625" style="175" hidden="1"/>
    <col min="12027" max="12028" width="13.109375" style="175" hidden="1"/>
    <col min="12029" max="12029" width="10.6640625" style="175" hidden="1"/>
    <col min="12030" max="12030" width="40.88671875" style="175" hidden="1"/>
    <col min="12031" max="12031" width="34.109375" style="175" hidden="1"/>
    <col min="12032" max="12032" width="16" style="175" hidden="1"/>
    <col min="12033" max="12033" width="15.6640625" style="175" hidden="1"/>
    <col min="12034" max="12034" width="17.44140625" style="175" hidden="1"/>
    <col min="12035" max="12035" width="10.6640625" style="175" hidden="1"/>
    <col min="12036" max="12036" width="13" style="175" hidden="1"/>
    <col min="12037" max="12037" width="16.6640625" style="175" hidden="1"/>
    <col min="12038" max="12278" width="9.109375" style="175" hidden="1"/>
    <col min="12279" max="12279" width="35.5546875" style="175" hidden="1"/>
    <col min="12280" max="12280" width="23" style="175" hidden="1"/>
    <col min="12281" max="12281" width="17.6640625" style="175" hidden="1"/>
    <col min="12282" max="12282" width="18.44140625" style="175" hidden="1"/>
    <col min="12283" max="12284" width="13.109375" style="175" hidden="1"/>
    <col min="12285" max="12285" width="10.6640625" style="175" hidden="1"/>
    <col min="12286" max="12286" width="40.88671875" style="175" hidden="1"/>
    <col min="12287" max="12287" width="34.109375" style="175" hidden="1"/>
    <col min="12288" max="12288" width="16" style="175" hidden="1"/>
    <col min="12289" max="12289" width="15.6640625" style="175" hidden="1"/>
    <col min="12290" max="12290" width="17.44140625" style="175" hidden="1"/>
    <col min="12291" max="12291" width="10.6640625" style="175" hidden="1"/>
    <col min="12292" max="12292" width="13" style="175" hidden="1"/>
    <col min="12293" max="12293" width="16.6640625" style="175" hidden="1"/>
    <col min="12294" max="12534" width="9.109375" style="175" hidden="1"/>
    <col min="12535" max="12535" width="35.5546875" style="175" hidden="1"/>
    <col min="12536" max="12536" width="23" style="175" hidden="1"/>
    <col min="12537" max="12537" width="17.6640625" style="175" hidden="1"/>
    <col min="12538" max="12538" width="18.44140625" style="175" hidden="1"/>
    <col min="12539" max="12540" width="13.109375" style="175" hidden="1"/>
    <col min="12541" max="12541" width="10.6640625" style="175" hidden="1"/>
    <col min="12542" max="12542" width="40.88671875" style="175" hidden="1"/>
    <col min="12543" max="12543" width="34.109375" style="175" hidden="1"/>
    <col min="12544" max="12544" width="16" style="175" hidden="1"/>
    <col min="12545" max="12545" width="15.6640625" style="175" hidden="1"/>
    <col min="12546" max="12546" width="17.44140625" style="175" hidden="1"/>
    <col min="12547" max="12547" width="10.6640625" style="175" hidden="1"/>
    <col min="12548" max="12548" width="13" style="175" hidden="1"/>
    <col min="12549" max="12549" width="16.6640625" style="175" hidden="1"/>
    <col min="12550" max="12790" width="9.109375" style="175" hidden="1"/>
    <col min="12791" max="12791" width="35.5546875" style="175" hidden="1"/>
    <col min="12792" max="12792" width="23" style="175" hidden="1"/>
    <col min="12793" max="12793" width="17.6640625" style="175" hidden="1"/>
    <col min="12794" max="12794" width="18.44140625" style="175" hidden="1"/>
    <col min="12795" max="12796" width="13.109375" style="175" hidden="1"/>
    <col min="12797" max="12797" width="10.6640625" style="175" hidden="1"/>
    <col min="12798" max="12798" width="40.88671875" style="175" hidden="1"/>
    <col min="12799" max="12799" width="34.109375" style="175" hidden="1"/>
    <col min="12800" max="12800" width="16" style="175" hidden="1"/>
    <col min="12801" max="12801" width="15.6640625" style="175" hidden="1"/>
    <col min="12802" max="12802" width="17.44140625" style="175" hidden="1"/>
    <col min="12803" max="12803" width="10.6640625" style="175" hidden="1"/>
    <col min="12804" max="12804" width="13" style="175" hidden="1"/>
    <col min="12805" max="12805" width="16.6640625" style="175" hidden="1"/>
    <col min="12806" max="13046" width="9.109375" style="175" hidden="1"/>
    <col min="13047" max="13047" width="35.5546875" style="175" hidden="1"/>
    <col min="13048" max="13048" width="23" style="175" hidden="1"/>
    <col min="13049" max="13049" width="17.6640625" style="175" hidden="1"/>
    <col min="13050" max="13050" width="18.44140625" style="175" hidden="1"/>
    <col min="13051" max="13052" width="13.109375" style="175" hidden="1"/>
    <col min="13053" max="13053" width="10.6640625" style="175" hidden="1"/>
    <col min="13054" max="13054" width="40.88671875" style="175" hidden="1"/>
    <col min="13055" max="13055" width="34.109375" style="175" hidden="1"/>
    <col min="13056" max="13056" width="16" style="175" hidden="1"/>
    <col min="13057" max="13057" width="15.6640625" style="175" hidden="1"/>
    <col min="13058" max="13058" width="17.44140625" style="175" hidden="1"/>
    <col min="13059" max="13059" width="10.6640625" style="175" hidden="1"/>
    <col min="13060" max="13060" width="13" style="175" hidden="1"/>
    <col min="13061" max="13061" width="16.6640625" style="175" hidden="1"/>
    <col min="13062" max="13302" width="9.109375" style="175" hidden="1"/>
    <col min="13303" max="13303" width="35.5546875" style="175" hidden="1"/>
    <col min="13304" max="13304" width="23" style="175" hidden="1"/>
    <col min="13305" max="13305" width="17.6640625" style="175" hidden="1"/>
    <col min="13306" max="13306" width="18.44140625" style="175" hidden="1"/>
    <col min="13307" max="13308" width="13.109375" style="175" hidden="1"/>
    <col min="13309" max="13309" width="10.6640625" style="175" hidden="1"/>
    <col min="13310" max="13310" width="40.88671875" style="175" hidden="1"/>
    <col min="13311" max="13311" width="34.109375" style="175" hidden="1"/>
    <col min="13312" max="13312" width="16" style="175" hidden="1"/>
    <col min="13313" max="13313" width="15.6640625" style="175" hidden="1"/>
    <col min="13314" max="13314" width="17.44140625" style="175" hidden="1"/>
    <col min="13315" max="13315" width="10.6640625" style="175" hidden="1"/>
    <col min="13316" max="13316" width="13" style="175" hidden="1"/>
    <col min="13317" max="13317" width="16.6640625" style="175" hidden="1"/>
    <col min="13318" max="13558" width="9.109375" style="175" hidden="1"/>
    <col min="13559" max="13559" width="35.5546875" style="175" hidden="1"/>
    <col min="13560" max="13560" width="23" style="175" hidden="1"/>
    <col min="13561" max="13561" width="17.6640625" style="175" hidden="1"/>
    <col min="13562" max="13562" width="18.44140625" style="175" hidden="1"/>
    <col min="13563" max="13564" width="13.109375" style="175" hidden="1"/>
    <col min="13565" max="13565" width="10.6640625" style="175" hidden="1"/>
    <col min="13566" max="13566" width="40.88671875" style="175" hidden="1"/>
    <col min="13567" max="13567" width="34.109375" style="175" hidden="1"/>
    <col min="13568" max="13568" width="16" style="175" hidden="1"/>
    <col min="13569" max="13569" width="15.6640625" style="175" hidden="1"/>
    <col min="13570" max="13570" width="17.44140625" style="175" hidden="1"/>
    <col min="13571" max="13571" width="10.6640625" style="175" hidden="1"/>
    <col min="13572" max="13572" width="13" style="175" hidden="1"/>
    <col min="13573" max="13573" width="16.6640625" style="175" hidden="1"/>
    <col min="13574" max="13814" width="9.109375" style="175" hidden="1"/>
    <col min="13815" max="13815" width="35.5546875" style="175" hidden="1"/>
    <col min="13816" max="13816" width="23" style="175" hidden="1"/>
    <col min="13817" max="13817" width="17.6640625" style="175" hidden="1"/>
    <col min="13818" max="13818" width="18.44140625" style="175" hidden="1"/>
    <col min="13819" max="13820" width="13.109375" style="175" hidden="1"/>
    <col min="13821" max="13821" width="10.6640625" style="175" hidden="1"/>
    <col min="13822" max="13822" width="40.88671875" style="175" hidden="1"/>
    <col min="13823" max="13823" width="34.109375" style="175" hidden="1"/>
    <col min="13824" max="13824" width="16" style="175" hidden="1"/>
    <col min="13825" max="13825" width="15.6640625" style="175" hidden="1"/>
    <col min="13826" max="13826" width="17.44140625" style="175" hidden="1"/>
    <col min="13827" max="13827" width="10.6640625" style="175" hidden="1"/>
    <col min="13828" max="13828" width="13" style="175" hidden="1"/>
    <col min="13829" max="13829" width="16.6640625" style="175" hidden="1"/>
    <col min="13830" max="14070" width="9.109375" style="175" hidden="1"/>
    <col min="14071" max="14071" width="35.5546875" style="175" hidden="1"/>
    <col min="14072" max="14072" width="23" style="175" hidden="1"/>
    <col min="14073" max="14073" width="17.6640625" style="175" hidden="1"/>
    <col min="14074" max="14074" width="18.44140625" style="175" hidden="1"/>
    <col min="14075" max="14076" width="13.109375" style="175" hidden="1"/>
    <col min="14077" max="14077" width="10.6640625" style="175" hidden="1"/>
    <col min="14078" max="14078" width="40.88671875" style="175" hidden="1"/>
    <col min="14079" max="14079" width="34.109375" style="175" hidden="1"/>
    <col min="14080" max="14080" width="16" style="175" hidden="1"/>
    <col min="14081" max="14081" width="15.6640625" style="175" hidden="1"/>
    <col min="14082" max="14082" width="17.44140625" style="175" hidden="1"/>
    <col min="14083" max="14083" width="10.6640625" style="175" hidden="1"/>
    <col min="14084" max="14084" width="13" style="175" hidden="1"/>
    <col min="14085" max="14085" width="16.6640625" style="175" hidden="1"/>
    <col min="14086" max="14326" width="9.109375" style="175" hidden="1"/>
    <col min="14327" max="14327" width="35.5546875" style="175" hidden="1"/>
    <col min="14328" max="14328" width="23" style="175" hidden="1"/>
    <col min="14329" max="14329" width="17.6640625" style="175" hidden="1"/>
    <col min="14330" max="14330" width="18.44140625" style="175" hidden="1"/>
    <col min="14331" max="14332" width="13.109375" style="175" hidden="1"/>
    <col min="14333" max="14333" width="10.6640625" style="175" hidden="1"/>
    <col min="14334" max="14334" width="40.88671875" style="175" hidden="1"/>
    <col min="14335" max="14335" width="34.109375" style="175" hidden="1"/>
    <col min="14336" max="14336" width="16" style="175" hidden="1"/>
    <col min="14337" max="14337" width="15.6640625" style="175" hidden="1"/>
    <col min="14338" max="14338" width="17.44140625" style="175" hidden="1"/>
    <col min="14339" max="14339" width="10.6640625" style="175" hidden="1"/>
    <col min="14340" max="14340" width="13" style="175" hidden="1"/>
    <col min="14341" max="14341" width="16.6640625" style="175" hidden="1"/>
    <col min="14342" max="14582" width="9.109375" style="175" hidden="1"/>
    <col min="14583" max="14583" width="35.5546875" style="175" hidden="1"/>
    <col min="14584" max="14584" width="23" style="175" hidden="1"/>
    <col min="14585" max="14585" width="17.6640625" style="175" hidden="1"/>
    <col min="14586" max="14586" width="18.44140625" style="175" hidden="1"/>
    <col min="14587" max="14588" width="13.109375" style="175" hidden="1"/>
    <col min="14589" max="14589" width="10.6640625" style="175" hidden="1"/>
    <col min="14590" max="14590" width="40.88671875" style="175" hidden="1"/>
    <col min="14591" max="14591" width="34.109375" style="175" hidden="1"/>
    <col min="14592" max="14592" width="16" style="175" hidden="1"/>
    <col min="14593" max="14593" width="15.6640625" style="175" hidden="1"/>
    <col min="14594" max="14594" width="17.44140625" style="175" hidden="1"/>
    <col min="14595" max="14595" width="10.6640625" style="175" hidden="1"/>
    <col min="14596" max="14596" width="13" style="175" hidden="1"/>
    <col min="14597" max="14597" width="16.6640625" style="175" hidden="1"/>
    <col min="14598" max="14838" width="9.109375" style="175" hidden="1"/>
    <col min="14839" max="14839" width="35.5546875" style="175" hidden="1"/>
    <col min="14840" max="14840" width="23" style="175" hidden="1"/>
    <col min="14841" max="14841" width="17.6640625" style="175" hidden="1"/>
    <col min="14842" max="14842" width="18.44140625" style="175" hidden="1"/>
    <col min="14843" max="14844" width="13.109375" style="175" hidden="1"/>
    <col min="14845" max="14845" width="10.6640625" style="175" hidden="1"/>
    <col min="14846" max="14846" width="40.88671875" style="175" hidden="1"/>
    <col min="14847" max="14847" width="34.109375" style="175" hidden="1"/>
    <col min="14848" max="14848" width="16" style="175" hidden="1"/>
    <col min="14849" max="14849" width="15.6640625" style="175" hidden="1"/>
    <col min="14850" max="14850" width="17.44140625" style="175" hidden="1"/>
    <col min="14851" max="14851" width="10.6640625" style="175" hidden="1"/>
    <col min="14852" max="14852" width="13" style="175" hidden="1"/>
    <col min="14853" max="14853" width="16.6640625" style="175" hidden="1"/>
    <col min="14854" max="15094" width="9.109375" style="175" hidden="1"/>
    <col min="15095" max="15095" width="35.5546875" style="175" hidden="1"/>
    <col min="15096" max="15096" width="23" style="175" hidden="1"/>
    <col min="15097" max="15097" width="17.6640625" style="175" hidden="1"/>
    <col min="15098" max="15098" width="18.44140625" style="175" hidden="1"/>
    <col min="15099" max="15100" width="13.109375" style="175" hidden="1"/>
    <col min="15101" max="15101" width="10.6640625" style="175" hidden="1"/>
    <col min="15102" max="15102" width="40.88671875" style="175" hidden="1"/>
    <col min="15103" max="15103" width="34.109375" style="175" hidden="1"/>
    <col min="15104" max="15104" width="16" style="175" hidden="1"/>
    <col min="15105" max="15105" width="15.6640625" style="175" hidden="1"/>
    <col min="15106" max="15106" width="17.44140625" style="175" hidden="1"/>
    <col min="15107" max="15107" width="10.6640625" style="175" hidden="1"/>
    <col min="15108" max="15108" width="13" style="175" hidden="1"/>
    <col min="15109" max="15109" width="16.6640625" style="175" hidden="1"/>
    <col min="15110" max="15350" width="9.109375" style="175" hidden="1"/>
    <col min="15351" max="15351" width="35.5546875" style="175" hidden="1"/>
    <col min="15352" max="15352" width="23" style="175" hidden="1"/>
    <col min="15353" max="15353" width="17.6640625" style="175" hidden="1"/>
    <col min="15354" max="15354" width="18.44140625" style="175" hidden="1"/>
    <col min="15355" max="15356" width="13.109375" style="175" hidden="1"/>
    <col min="15357" max="15357" width="10.6640625" style="175" hidden="1"/>
    <col min="15358" max="15358" width="40.88671875" style="175" hidden="1"/>
    <col min="15359" max="15359" width="34.109375" style="175" hidden="1"/>
    <col min="15360" max="15360" width="16" style="175" hidden="1"/>
    <col min="15361" max="15361" width="15.6640625" style="175" hidden="1"/>
    <col min="15362" max="15362" width="17.44140625" style="175" hidden="1"/>
    <col min="15363" max="15363" width="10.6640625" style="175" hidden="1"/>
    <col min="15364" max="15364" width="13" style="175" hidden="1"/>
    <col min="15365" max="15365" width="16.6640625" style="175" hidden="1"/>
    <col min="15366" max="15606" width="9.109375" style="175" hidden="1"/>
    <col min="15607" max="15607" width="35.5546875" style="175" hidden="1"/>
    <col min="15608" max="15608" width="23" style="175" hidden="1"/>
    <col min="15609" max="15609" width="17.6640625" style="175" hidden="1"/>
    <col min="15610" max="15610" width="18.44140625" style="175" hidden="1"/>
    <col min="15611" max="15612" width="13.109375" style="175" hidden="1"/>
    <col min="15613" max="15613" width="10.6640625" style="175" hidden="1"/>
    <col min="15614" max="15614" width="40.88671875" style="175" hidden="1"/>
    <col min="15615" max="15615" width="34.109375" style="175" hidden="1"/>
    <col min="15616" max="15616" width="16" style="175" hidden="1"/>
    <col min="15617" max="15617" width="15.6640625" style="175" hidden="1"/>
    <col min="15618" max="15618" width="17.44140625" style="175" hidden="1"/>
    <col min="15619" max="15619" width="10.6640625" style="175" hidden="1"/>
    <col min="15620" max="15620" width="13" style="175" hidden="1"/>
    <col min="15621" max="15621" width="16.6640625" style="175" hidden="1"/>
    <col min="15622" max="15862" width="9.109375" style="175" hidden="1"/>
    <col min="15863" max="15863" width="35.5546875" style="175" hidden="1"/>
    <col min="15864" max="15864" width="23" style="175" hidden="1"/>
    <col min="15865" max="15865" width="17.6640625" style="175" hidden="1"/>
    <col min="15866" max="15866" width="18.44140625" style="175" hidden="1"/>
    <col min="15867" max="15868" width="13.109375" style="175" hidden="1"/>
    <col min="15869" max="15869" width="10.6640625" style="175" hidden="1"/>
    <col min="15870" max="15870" width="40.88671875" style="175" hidden="1"/>
    <col min="15871" max="15871" width="34.109375" style="175" hidden="1"/>
    <col min="15872" max="15872" width="16" style="175" hidden="1"/>
    <col min="15873" max="15873" width="15.6640625" style="175" hidden="1"/>
    <col min="15874" max="15874" width="17.44140625" style="175" hidden="1"/>
    <col min="15875" max="15875" width="10.6640625" style="175" hidden="1"/>
    <col min="15876" max="15876" width="13" style="175" hidden="1"/>
    <col min="15877" max="15877" width="16.6640625" style="175" hidden="1"/>
    <col min="15878" max="16118" width="9.109375" style="175" hidden="1"/>
    <col min="16119" max="16119" width="35.5546875" style="175" hidden="1"/>
    <col min="16120" max="16120" width="23" style="175" hidden="1"/>
    <col min="16121" max="16121" width="17.6640625" style="175" hidden="1"/>
    <col min="16122" max="16122" width="18.44140625" style="175" hidden="1"/>
    <col min="16123" max="16124" width="13.109375" style="175" hidden="1"/>
    <col min="16125" max="16125" width="10.6640625" style="175" hidden="1"/>
    <col min="16126" max="16126" width="40.88671875" style="175" hidden="1"/>
    <col min="16127" max="16127" width="34.109375" style="175" hidden="1"/>
    <col min="16128" max="16128" width="16" style="175" hidden="1"/>
    <col min="16129" max="16129" width="15.6640625" style="175" hidden="1"/>
    <col min="16130" max="16130" width="17.44140625" style="175" hidden="1"/>
    <col min="16131" max="16131" width="10.6640625" style="175" hidden="1"/>
    <col min="16132" max="16132" width="13" style="175" hidden="1"/>
    <col min="16133" max="16133" width="16.6640625" style="175" hidden="1"/>
    <col min="16134" max="16384" width="9.109375" style="175" hidden="1"/>
  </cols>
  <sheetData>
    <row r="1" spans="1:18" x14ac:dyDescent="0.5">
      <c r="A1" s="500" t="s">
        <v>59</v>
      </c>
      <c r="B1" s="500"/>
      <c r="C1" s="500"/>
      <c r="D1" s="500"/>
      <c r="E1" s="500"/>
      <c r="F1" s="500"/>
      <c r="G1" s="501"/>
      <c r="H1" s="501"/>
      <c r="I1" s="501"/>
      <c r="J1" s="500"/>
      <c r="K1" s="500"/>
      <c r="L1" s="500"/>
      <c r="M1" s="500"/>
      <c r="N1" s="500"/>
    </row>
    <row r="2" spans="1:18" x14ac:dyDescent="0.5">
      <c r="A2" s="416" t="s">
        <v>243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</row>
    <row r="3" spans="1:18" x14ac:dyDescent="0.5"/>
    <row r="4" spans="1:18" ht="36" customHeight="1" x14ac:dyDescent="0.5">
      <c r="A4" s="502" t="s">
        <v>45</v>
      </c>
      <c r="B4" s="503" t="s">
        <v>46</v>
      </c>
      <c r="C4" s="503"/>
      <c r="D4" s="15" t="s">
        <v>251</v>
      </c>
      <c r="E4" s="15" t="s">
        <v>244</v>
      </c>
      <c r="F4" s="15" t="s">
        <v>51</v>
      </c>
      <c r="G4" s="217"/>
      <c r="H4" s="217"/>
      <c r="I4" s="502" t="s">
        <v>45</v>
      </c>
      <c r="J4" s="503" t="s">
        <v>47</v>
      </c>
      <c r="K4" s="503"/>
      <c r="L4" s="15" t="s">
        <v>251</v>
      </c>
      <c r="M4" s="15" t="s">
        <v>244</v>
      </c>
      <c r="N4" s="15" t="s">
        <v>154</v>
      </c>
    </row>
    <row r="5" spans="1:18" ht="36" customHeight="1" x14ac:dyDescent="0.5">
      <c r="A5" s="502"/>
      <c r="B5" s="505" t="s">
        <v>161</v>
      </c>
      <c r="C5" s="505"/>
      <c r="D5" s="20">
        <f>'Anexo 1. Fontes e Aplicações'!C9</f>
        <v>13596094.907399997</v>
      </c>
      <c r="E5" s="20">
        <f>'Anexo 1. Fontes e Aplicações'!D9</f>
        <v>16295527.260000002</v>
      </c>
      <c r="F5" s="21">
        <f>IFERROR(E5/D5*100-100,0)</f>
        <v>19.854468293912646</v>
      </c>
      <c r="G5" s="174"/>
      <c r="H5" s="174">
        <f>'Anexo 1. Fontes e Aplicações'!D9</f>
        <v>16295527.260000002</v>
      </c>
      <c r="I5" s="504"/>
      <c r="J5" s="506" t="s">
        <v>65</v>
      </c>
      <c r="K5" s="506"/>
      <c r="L5" s="177">
        <v>9853474.3699999992</v>
      </c>
      <c r="M5" s="228">
        <f>'Anexo 3. Elemento de Despesas'!E53</f>
        <v>11545511.84</v>
      </c>
      <c r="N5" s="21">
        <f>IFERROR(M5/L5*100-100,0)</f>
        <v>17.171988341001793</v>
      </c>
      <c r="O5" s="224"/>
      <c r="P5" s="225">
        <f>'Anexo 3. Elemento de Despesas'!E53</f>
        <v>11545511.84</v>
      </c>
    </row>
    <row r="6" spans="1:18" ht="36" customHeight="1" x14ac:dyDescent="0.5">
      <c r="A6" s="502"/>
      <c r="B6" s="505" t="s">
        <v>48</v>
      </c>
      <c r="C6" s="505"/>
      <c r="D6" s="20">
        <f>'Anexo 1. Fontes e Aplicações'!C21</f>
        <v>0</v>
      </c>
      <c r="E6" s="20">
        <f>'Anexo 1. Fontes e Aplicações'!D21</f>
        <v>0</v>
      </c>
      <c r="F6" s="21">
        <f>IFERROR(E6/D6*100-100,0)</f>
        <v>0</v>
      </c>
      <c r="G6" s="174"/>
      <c r="H6" s="174">
        <f>'Anexo 1. Fontes e Aplicações'!D21</f>
        <v>0</v>
      </c>
      <c r="I6" s="504"/>
      <c r="J6" s="506" t="s">
        <v>60</v>
      </c>
      <c r="K6" s="506"/>
      <c r="L6" s="177">
        <v>1378324.73</v>
      </c>
      <c r="M6" s="178">
        <v>1689611.46</v>
      </c>
      <c r="N6" s="21">
        <f>IFERROR(M6/L6*100-100,0)</f>
        <v>22.584426095293225</v>
      </c>
      <c r="O6" s="224"/>
      <c r="P6" s="225"/>
    </row>
    <row r="7" spans="1:18" ht="36" customHeight="1" x14ac:dyDescent="0.5">
      <c r="A7" s="502"/>
      <c r="B7" s="507" t="s">
        <v>61</v>
      </c>
      <c r="C7" s="507"/>
      <c r="D7" s="218">
        <f>SUM(D5:D6)</f>
        <v>13596094.907399997</v>
      </c>
      <c r="E7" s="218">
        <f>SUM(E5:E6)</f>
        <v>16295527.260000002</v>
      </c>
      <c r="F7" s="219">
        <f>IFERROR(E7/D7*100-100,0)</f>
        <v>19.854468293912646</v>
      </c>
      <c r="G7" s="174"/>
      <c r="H7" s="174">
        <f>H5+H6</f>
        <v>16295527.260000002</v>
      </c>
      <c r="I7" s="504"/>
      <c r="J7" s="506" t="s">
        <v>62</v>
      </c>
      <c r="K7" s="506"/>
      <c r="L7" s="227">
        <f>'Anexo 1. Fontes e Aplicações'!C8</f>
        <v>14276129.777399996</v>
      </c>
      <c r="M7" s="228">
        <f>'Anexo 1. Fontes e Aplicações'!D8</f>
        <v>17061721.328942068</v>
      </c>
      <c r="N7" s="21">
        <f>IFERROR(M7/L7*100-100,0)</f>
        <v>19.512231921230068</v>
      </c>
      <c r="O7" s="224"/>
      <c r="P7" s="225">
        <f>'Anexo 1. Fontes e Aplicações'!D8</f>
        <v>17061721.328942068</v>
      </c>
    </row>
    <row r="8" spans="1:18" ht="36" customHeight="1" x14ac:dyDescent="0.5">
      <c r="A8" s="502"/>
      <c r="B8" s="505" t="s">
        <v>63</v>
      </c>
      <c r="C8" s="505"/>
      <c r="D8" s="20">
        <f>'Anexo 1. Fontes e Aplicações'!C31</f>
        <v>291245.11</v>
      </c>
      <c r="E8" s="20">
        <f>'Anexo 1. Fontes e Aplicações'!D31</f>
        <v>273150.81</v>
      </c>
      <c r="F8" s="21">
        <f>IFERROR(E8/D8*100-100,0)</f>
        <v>-6.2127395031628083</v>
      </c>
      <c r="G8" s="174"/>
      <c r="H8" s="174">
        <f>'Anexo 1. Fontes e Aplicações'!D31</f>
        <v>273150.81</v>
      </c>
      <c r="I8" s="508"/>
      <c r="J8" s="508"/>
      <c r="K8" s="176"/>
      <c r="L8" s="179"/>
      <c r="M8" s="180"/>
      <c r="N8" s="180"/>
      <c r="O8" s="180"/>
      <c r="P8" s="180"/>
    </row>
    <row r="9" spans="1:18" ht="36" customHeight="1" x14ac:dyDescent="0.5">
      <c r="A9" s="502"/>
      <c r="B9" s="465" t="s">
        <v>74</v>
      </c>
      <c r="C9" s="465"/>
      <c r="D9" s="218">
        <f>D7-D8</f>
        <v>13304849.797399998</v>
      </c>
      <c r="E9" s="218">
        <f>E7-E8</f>
        <v>16022376.450000001</v>
      </c>
      <c r="F9" s="219">
        <f>IFERROR(E9/D9*100-100,0)</f>
        <v>20.425083289035356</v>
      </c>
      <c r="G9" s="174"/>
      <c r="H9" s="174">
        <f>H7-H8</f>
        <v>16022376.450000001</v>
      </c>
      <c r="I9" s="161"/>
      <c r="J9" s="161"/>
      <c r="K9" s="176"/>
      <c r="L9" s="181"/>
      <c r="M9" s="182"/>
      <c r="N9" s="181"/>
      <c r="O9" s="183"/>
      <c r="P9" s="183"/>
    </row>
    <row r="10" spans="1:18" s="188" customFormat="1" ht="36" customHeight="1" x14ac:dyDescent="0.5">
      <c r="A10" s="184"/>
      <c r="B10" s="185"/>
      <c r="C10" s="185"/>
      <c r="D10" s="186"/>
      <c r="E10" s="186"/>
      <c r="F10" s="181"/>
      <c r="G10" s="186"/>
      <c r="H10" s="186"/>
      <c r="I10" s="161"/>
      <c r="J10" s="161"/>
      <c r="K10" s="176"/>
      <c r="L10" s="181"/>
      <c r="M10" s="182"/>
      <c r="N10" s="181"/>
      <c r="O10" s="187"/>
      <c r="P10" s="187"/>
    </row>
    <row r="11" spans="1:18" ht="36" customHeight="1" x14ac:dyDescent="0.5">
      <c r="A11" s="502" t="s">
        <v>69</v>
      </c>
      <c r="B11" s="503" t="s">
        <v>52</v>
      </c>
      <c r="C11" s="503"/>
      <c r="D11" s="15" t="s">
        <v>251</v>
      </c>
      <c r="E11" s="15" t="s">
        <v>244</v>
      </c>
      <c r="F11" s="15" t="s">
        <v>3</v>
      </c>
      <c r="G11" s="186"/>
      <c r="H11" s="186"/>
      <c r="I11" s="503" t="s">
        <v>52</v>
      </c>
      <c r="J11" s="503"/>
      <c r="K11" s="503"/>
      <c r="L11" s="15" t="s">
        <v>251</v>
      </c>
      <c r="M11" s="15" t="s">
        <v>244</v>
      </c>
      <c r="N11" s="15" t="s">
        <v>70</v>
      </c>
      <c r="O11" s="183"/>
      <c r="P11" s="183"/>
    </row>
    <row r="12" spans="1:18" ht="36" customHeight="1" x14ac:dyDescent="0.5">
      <c r="A12" s="502"/>
      <c r="B12" s="510" t="s">
        <v>328</v>
      </c>
      <c r="C12" s="220" t="s">
        <v>49</v>
      </c>
      <c r="D12" s="177">
        <v>4124786.96</v>
      </c>
      <c r="E12" s="178">
        <f>'Quadro Geral'!I9+'Quadro Geral'!I16+'Quadro Geral'!I51+'Quadro Geral'!I52+'Quadro Geral'!I53+'Quadro Geral'!I54+'Quadro Geral'!I55</f>
        <v>6304064.3100000015</v>
      </c>
      <c r="F12" s="21">
        <f>IFERROR(E12/D12*100-100,)</f>
        <v>52.833694712805283</v>
      </c>
      <c r="G12" s="224"/>
      <c r="H12" s="225">
        <f>SUMIF('Quadro Geral'!$E:$E,'Validação de dados'!D15,'Quadro Geral'!$I:$I)</f>
        <v>6304064.3100000015</v>
      </c>
      <c r="I12" s="512" t="s">
        <v>329</v>
      </c>
      <c r="J12" s="512"/>
      <c r="K12" s="220" t="s">
        <v>49</v>
      </c>
      <c r="L12" s="227">
        <f>(L5-L6)</f>
        <v>8475149.6399999987</v>
      </c>
      <c r="M12" s="228">
        <f>(M5-M6)</f>
        <v>9855900.379999999</v>
      </c>
      <c r="N12" s="21">
        <f>IFERROR(M12/L12*100-100,0)</f>
        <v>16.291756472160657</v>
      </c>
      <c r="O12" s="224"/>
      <c r="P12" s="225">
        <f>P5-P6</f>
        <v>11545511.84</v>
      </c>
      <c r="Q12" s="189"/>
      <c r="R12" s="189"/>
    </row>
    <row r="13" spans="1:18" ht="36" customHeight="1" x14ac:dyDescent="0.5">
      <c r="A13" s="502"/>
      <c r="B13" s="511"/>
      <c r="C13" s="221" t="s">
        <v>50</v>
      </c>
      <c r="D13" s="223">
        <f>IFERROR(D12/$D$9,0)</f>
        <v>0.31002130973369246</v>
      </c>
      <c r="E13" s="223">
        <f>IFERROR(E12/$E$9,0)</f>
        <v>0.39345376322124803</v>
      </c>
      <c r="F13" s="222">
        <f>(E13-D13)*100</f>
        <v>8.3432453487555573</v>
      </c>
      <c r="G13" s="226"/>
      <c r="H13" s="226">
        <f>IFERROR(H12/$H$9,)</f>
        <v>0.39345376322124803</v>
      </c>
      <c r="I13" s="512"/>
      <c r="J13" s="512"/>
      <c r="K13" s="221" t="s">
        <v>50</v>
      </c>
      <c r="L13" s="229">
        <f>IFERROR(L12/L7,)</f>
        <v>0.59365876971899545</v>
      </c>
      <c r="M13" s="229">
        <f>IFERROR(M12/M7,)</f>
        <v>0.5776615494991868</v>
      </c>
      <c r="N13" s="222">
        <f>(M13-L13)*100</f>
        <v>-1.599722021980865</v>
      </c>
      <c r="O13" s="230"/>
      <c r="P13" s="230">
        <f>IFERROR(P12/P7,)</f>
        <v>0.67669091631541101</v>
      </c>
      <c r="Q13" s="189"/>
      <c r="R13" s="189"/>
    </row>
    <row r="14" spans="1:18" ht="36" customHeight="1" x14ac:dyDescent="0.5">
      <c r="A14" s="502"/>
      <c r="B14" s="513" t="s">
        <v>330</v>
      </c>
      <c r="C14" s="220" t="s">
        <v>49</v>
      </c>
      <c r="D14" s="177">
        <v>2448254.3199999998</v>
      </c>
      <c r="E14" s="178">
        <v>2777859.89</v>
      </c>
      <c r="F14" s="21">
        <f>IFERROR(E14/D14*100-100,)</f>
        <v>13.46288117649479</v>
      </c>
      <c r="G14" s="224"/>
      <c r="H14" s="225">
        <f>SUMIF('Quadro Geral'!$E:$E,'Validação de dados'!D2,'Quadro Geral'!$I:$I)</f>
        <v>2777859.8899999997</v>
      </c>
      <c r="I14" s="509" t="s">
        <v>331</v>
      </c>
      <c r="J14" s="509"/>
      <c r="K14" s="220" t="s">
        <v>49</v>
      </c>
      <c r="L14" s="177">
        <f>COA!D23</f>
        <v>11678.72</v>
      </c>
      <c r="M14" s="178">
        <f>COA!E23</f>
        <v>10449.122542071578</v>
      </c>
      <c r="N14" s="21">
        <f>IFERROR(M14/L14*100-100,0)</f>
        <v>-10.528529307393455</v>
      </c>
      <c r="O14" s="224"/>
      <c r="P14" s="225">
        <f>SUMIF('Quadro Geral'!$E:$E,'Validação de dados'!D6,'Quadro Geral'!$I:$I)</f>
        <v>10449.122542071578</v>
      </c>
    </row>
    <row r="15" spans="1:18" ht="36" customHeight="1" x14ac:dyDescent="0.5">
      <c r="A15" s="502"/>
      <c r="B15" s="514"/>
      <c r="C15" s="221" t="s">
        <v>50</v>
      </c>
      <c r="D15" s="223">
        <f>IFERROR(D14/$D$9,0)</f>
        <v>0.18401217280020943</v>
      </c>
      <c r="E15" s="223">
        <f>IFERROR(E14/$E$9,0)</f>
        <v>0.17337377502449083</v>
      </c>
      <c r="F15" s="222">
        <f>(E15-D15)*100</f>
        <v>-1.0638397775718595</v>
      </c>
      <c r="G15" s="226"/>
      <c r="H15" s="226">
        <f>IFERROR(H14/$H$9,)</f>
        <v>0.17337377502449081</v>
      </c>
      <c r="I15" s="509"/>
      <c r="J15" s="509"/>
      <c r="K15" s="221" t="s">
        <v>50</v>
      </c>
      <c r="L15" s="229">
        <f>IFERROR(L14/L5,)</f>
        <v>1.1852387859816395E-3</v>
      </c>
      <c r="M15" s="229">
        <f>IFERROR(M14/M5,)</f>
        <v>9.0503761867620914E-4</v>
      </c>
      <c r="N15" s="222">
        <f>(M15-L15)*100</f>
        <v>-2.8020116730543037E-2</v>
      </c>
      <c r="O15" s="230"/>
      <c r="P15" s="230">
        <f>IFERROR(P14/P5,)</f>
        <v>9.0503761867620914E-4</v>
      </c>
    </row>
    <row r="16" spans="1:18" ht="36" customHeight="1" x14ac:dyDescent="0.5">
      <c r="A16" s="502"/>
      <c r="B16" s="509" t="s">
        <v>332</v>
      </c>
      <c r="C16" s="220" t="s">
        <v>49</v>
      </c>
      <c r="D16" s="177">
        <v>1289588.3700000001</v>
      </c>
      <c r="E16" s="178">
        <v>1501777.6</v>
      </c>
      <c r="F16" s="21">
        <f>IFERROR(E16/D16*100-100,)</f>
        <v>16.454027884882379</v>
      </c>
      <c r="G16" s="224"/>
      <c r="H16" s="225">
        <f>SUMIF('Quadro Geral'!$E:$E,'Validação de dados'!D3,'Quadro Geral'!$I:$I)</f>
        <v>1501777.6</v>
      </c>
      <c r="O16" s="184"/>
    </row>
    <row r="17" spans="1:15" ht="36" customHeight="1" x14ac:dyDescent="0.5">
      <c r="A17" s="502"/>
      <c r="B17" s="509"/>
      <c r="C17" s="221" t="s">
        <v>50</v>
      </c>
      <c r="D17" s="223">
        <f>IFERROR(D16/$D$9,0)</f>
        <v>9.6926187791462962E-2</v>
      </c>
      <c r="E17" s="223">
        <f>IFERROR(E16/$E$9,0)</f>
        <v>9.3730015936556027E-2</v>
      </c>
      <c r="F17" s="222">
        <f>(E17-D17)*100</f>
        <v>-0.31961718549069346</v>
      </c>
      <c r="G17" s="226"/>
      <c r="H17" s="226">
        <f>IFERROR(H16/$H$9,)</f>
        <v>9.3730015936556027E-2</v>
      </c>
      <c r="I17" s="515" t="s">
        <v>337</v>
      </c>
      <c r="J17" s="515"/>
      <c r="K17" s="516" t="s">
        <v>338</v>
      </c>
      <c r="L17" s="516"/>
      <c r="M17" s="516"/>
      <c r="N17" s="516"/>
    </row>
    <row r="18" spans="1:15" ht="36" customHeight="1" x14ac:dyDescent="0.5">
      <c r="A18" s="502"/>
      <c r="B18" s="509" t="s">
        <v>333</v>
      </c>
      <c r="C18" s="220" t="s">
        <v>49</v>
      </c>
      <c r="D18" s="177">
        <v>268617</v>
      </c>
      <c r="E18" s="178">
        <v>268617</v>
      </c>
      <c r="F18" s="21">
        <f>IFERROR(E18/D18*100-100,)</f>
        <v>0</v>
      </c>
      <c r="G18" s="224"/>
      <c r="H18" s="225"/>
      <c r="I18" s="515"/>
      <c r="J18" s="515"/>
      <c r="K18" s="516"/>
      <c r="L18" s="516"/>
      <c r="M18" s="516"/>
      <c r="N18" s="516"/>
    </row>
    <row r="19" spans="1:15" ht="36" customHeight="1" x14ac:dyDescent="0.5">
      <c r="A19" s="502"/>
      <c r="B19" s="509"/>
      <c r="C19" s="221" t="s">
        <v>50</v>
      </c>
      <c r="D19" s="223">
        <f>IFERROR(D18/$D$9,0)</f>
        <v>2.0189404923044867E-2</v>
      </c>
      <c r="E19" s="223">
        <f>IFERROR(E18/$E$9,0)</f>
        <v>1.6765116013735901E-2</v>
      </c>
      <c r="F19" s="222">
        <f>(E19-D19)*100</f>
        <v>-0.34242889093089657</v>
      </c>
      <c r="G19" s="226"/>
      <c r="H19" s="226">
        <f>IFERROR(H18/$H$9,)</f>
        <v>0</v>
      </c>
      <c r="I19" s="515"/>
      <c r="J19" s="515"/>
      <c r="K19" s="516"/>
      <c r="L19" s="516"/>
      <c r="M19" s="516"/>
      <c r="N19" s="516"/>
    </row>
    <row r="20" spans="1:15" ht="36" customHeight="1" x14ac:dyDescent="0.5">
      <c r="A20" s="502"/>
      <c r="B20" s="509" t="s">
        <v>334</v>
      </c>
      <c r="C20" s="220" t="s">
        <v>49</v>
      </c>
      <c r="D20" s="177">
        <v>1555767.0999999999</v>
      </c>
      <c r="E20" s="178">
        <v>3479634.54</v>
      </c>
      <c r="F20" s="21">
        <f>IFERROR(E20/D20*100-100,)</f>
        <v>123.66037564362946</v>
      </c>
      <c r="G20" s="224"/>
      <c r="H20" s="225">
        <f>SUMIF('Quadro Geral'!$E:$E,'Matriz de Obj. Estrat.'!M3,'Quadro Geral'!$I:$I)+SUMIF('Quadro Geral'!$E:$E,'Matriz de Obj. Estrat.'!M4,'Quadro Geral'!$I:$I)+SUMIF('Quadro Geral'!$E:$E,'Matriz de Obj. Estrat.'!M5,'Quadro Geral'!$I:$I)</f>
        <v>74614.649999999994</v>
      </c>
      <c r="I20" s="515"/>
      <c r="J20" s="515"/>
      <c r="K20" s="516"/>
      <c r="L20" s="516"/>
      <c r="M20" s="516"/>
      <c r="N20" s="516"/>
    </row>
    <row r="21" spans="1:15" ht="36" customHeight="1" x14ac:dyDescent="0.5">
      <c r="A21" s="502"/>
      <c r="B21" s="509"/>
      <c r="C21" s="221" t="s">
        <v>50</v>
      </c>
      <c r="D21" s="223"/>
      <c r="E21" s="223">
        <f>IFERROR(E20/$E$9,0)</f>
        <v>0.21717343559232125</v>
      </c>
      <c r="F21" s="222">
        <f>(E21-D21)*100</f>
        <v>21.717343559232123</v>
      </c>
      <c r="G21" s="226"/>
      <c r="H21" s="226">
        <f>IFERROR(H20/$H$9,)</f>
        <v>4.6569028154372187E-3</v>
      </c>
      <c r="I21" s="515"/>
      <c r="J21" s="515"/>
      <c r="K21" s="516"/>
      <c r="L21" s="516"/>
      <c r="M21" s="516"/>
      <c r="N21" s="516"/>
    </row>
    <row r="22" spans="1:15" ht="36" customHeight="1" x14ac:dyDescent="0.5">
      <c r="A22" s="502"/>
      <c r="B22" s="509" t="s">
        <v>335</v>
      </c>
      <c r="C22" s="220" t="s">
        <v>49</v>
      </c>
      <c r="D22" s="177">
        <v>1210702.1200000001</v>
      </c>
      <c r="E22" s="178">
        <v>914066.68</v>
      </c>
      <c r="F22" s="21">
        <f>IFERROR(E22/D22*100-100,)</f>
        <v>-24.501108497274288</v>
      </c>
      <c r="G22" s="224"/>
      <c r="H22" s="225"/>
      <c r="I22" s="515"/>
      <c r="J22" s="515"/>
      <c r="K22" s="516"/>
      <c r="L22" s="516"/>
      <c r="M22" s="516"/>
      <c r="N22" s="516"/>
    </row>
    <row r="23" spans="1:15" ht="36" customHeight="1" x14ac:dyDescent="0.5">
      <c r="A23" s="502"/>
      <c r="B23" s="509"/>
      <c r="C23" s="221" t="s">
        <v>50</v>
      </c>
      <c r="D23" s="223">
        <f>IFERROR(D22/$D$9,0)</f>
        <v>9.0997052836822911E-2</v>
      </c>
      <c r="E23" s="223">
        <f>IFERROR(E22/$E$9,0)</f>
        <v>5.7049382334291611E-2</v>
      </c>
      <c r="F23" s="222">
        <f>(E23-D23)*100</f>
        <v>-3.39476705025313</v>
      </c>
      <c r="G23" s="226"/>
      <c r="H23" s="226">
        <f>IFERROR(H22/$H$9,)</f>
        <v>0</v>
      </c>
      <c r="I23" s="190"/>
      <c r="J23" s="190"/>
      <c r="K23" s="190"/>
      <c r="L23" s="190"/>
      <c r="M23" s="190"/>
      <c r="N23" s="190"/>
      <c r="O23" s="190"/>
    </row>
    <row r="24" spans="1:15" ht="36" customHeight="1" x14ac:dyDescent="0.5">
      <c r="A24" s="502"/>
      <c r="B24" s="509" t="s">
        <v>336</v>
      </c>
      <c r="C24" s="220" t="s">
        <v>49</v>
      </c>
      <c r="D24" s="253">
        <f>'Anexo 1. Fontes e Aplicações'!C33</f>
        <v>0</v>
      </c>
      <c r="E24" s="253">
        <f>'Anexo 1. Fontes e Aplicações'!D33</f>
        <v>0</v>
      </c>
      <c r="F24" s="21">
        <f>IFERROR(E24/D24*100-100,)</f>
        <v>0</v>
      </c>
      <c r="G24" s="224"/>
      <c r="H24" s="225">
        <f>'Anexo 1. Fontes e Aplicações'!D33</f>
        <v>0</v>
      </c>
      <c r="I24" s="190"/>
      <c r="J24" s="190"/>
      <c r="K24" s="190"/>
      <c r="L24" s="190"/>
      <c r="M24" s="190"/>
      <c r="N24" s="190"/>
      <c r="O24" s="190"/>
    </row>
    <row r="25" spans="1:15" ht="36" customHeight="1" x14ac:dyDescent="0.5">
      <c r="A25" s="502"/>
      <c r="B25" s="509"/>
      <c r="C25" s="221" t="s">
        <v>50</v>
      </c>
      <c r="D25" s="223">
        <f>IFERROR(D24/$D$9,0)</f>
        <v>0</v>
      </c>
      <c r="E25" s="223">
        <f>IFERROR(E24/$E$9,0)</f>
        <v>0</v>
      </c>
      <c r="F25" s="222">
        <f>(E25-D25)*100</f>
        <v>0</v>
      </c>
      <c r="G25" s="226"/>
      <c r="H25" s="226">
        <f>IFERROR(H24/$H$9,)</f>
        <v>0</v>
      </c>
      <c r="I25" s="190"/>
      <c r="J25" s="190"/>
      <c r="K25" s="190"/>
      <c r="L25" s="190"/>
      <c r="M25" s="190"/>
      <c r="N25" s="190"/>
      <c r="O25" s="190"/>
    </row>
    <row r="26" spans="1:15" x14ac:dyDescent="0.5">
      <c r="B26" s="147"/>
      <c r="I26" s="190"/>
      <c r="J26" s="190"/>
      <c r="K26" s="190"/>
      <c r="L26" s="190"/>
      <c r="M26" s="190"/>
      <c r="N26" s="190"/>
      <c r="O26" s="190"/>
    </row>
    <row r="27" spans="1:15" x14ac:dyDescent="0.5">
      <c r="A27" s="416" t="s">
        <v>339</v>
      </c>
      <c r="B27" s="416"/>
      <c r="C27" s="416"/>
      <c r="D27" s="416"/>
      <c r="E27" s="416"/>
      <c r="F27" s="416"/>
      <c r="G27" s="416"/>
      <c r="H27" s="416"/>
      <c r="I27" s="416"/>
      <c r="J27" s="416"/>
      <c r="K27" s="416"/>
      <c r="L27" s="416"/>
      <c r="M27" s="416"/>
      <c r="N27" s="416"/>
    </row>
    <row r="28" spans="1:15" ht="288.60000000000002" customHeight="1" x14ac:dyDescent="0.5">
      <c r="A28" s="622" t="s">
        <v>761</v>
      </c>
      <c r="B28" s="623"/>
      <c r="C28" s="623"/>
      <c r="D28" s="623"/>
      <c r="E28" s="623"/>
      <c r="F28" s="623"/>
      <c r="G28" s="623"/>
      <c r="H28" s="623"/>
      <c r="I28" s="623"/>
      <c r="J28" s="623"/>
      <c r="K28" s="623"/>
      <c r="L28" s="623"/>
      <c r="M28" s="623"/>
      <c r="N28" s="624"/>
    </row>
  </sheetData>
  <sheetProtection selectLockedCells="1"/>
  <mergeCells count="31">
    <mergeCell ref="A27:N27"/>
    <mergeCell ref="A28:N28"/>
    <mergeCell ref="A11:A25"/>
    <mergeCell ref="I14:J15"/>
    <mergeCell ref="B16:B17"/>
    <mergeCell ref="B11:C11"/>
    <mergeCell ref="I11:K11"/>
    <mergeCell ref="B12:B13"/>
    <mergeCell ref="I12:J13"/>
    <mergeCell ref="B14:B15"/>
    <mergeCell ref="I17:J22"/>
    <mergeCell ref="K17:N22"/>
    <mergeCell ref="B22:B23"/>
    <mergeCell ref="B20:B21"/>
    <mergeCell ref="B24:B25"/>
    <mergeCell ref="B18:B19"/>
    <mergeCell ref="A1:N1"/>
    <mergeCell ref="A4:A9"/>
    <mergeCell ref="B4:C4"/>
    <mergeCell ref="I4:I7"/>
    <mergeCell ref="J4:K4"/>
    <mergeCell ref="B5:C5"/>
    <mergeCell ref="J5:K5"/>
    <mergeCell ref="B6:C6"/>
    <mergeCell ref="J6:K6"/>
    <mergeCell ref="B7:C7"/>
    <mergeCell ref="J7:K7"/>
    <mergeCell ref="B8:C8"/>
    <mergeCell ref="I8:J8"/>
    <mergeCell ref="A2:N2"/>
    <mergeCell ref="B9:C9"/>
  </mergeCells>
  <phoneticPr fontId="26" type="noConversion"/>
  <pageMargins left="0.51181102362204722" right="0.51181102362204722" top="0.35433070866141736" bottom="0.78740157480314965" header="0.31496062992125984" footer="0.31496062992125984"/>
  <pageSetup paperSize="9" scale="50" fitToHeight="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8">
    <tabColor rgb="FF2A5664"/>
  </sheetPr>
  <dimension ref="A1:XFB92"/>
  <sheetViews>
    <sheetView showGridLines="0" zoomScale="50" zoomScaleNormal="50" workbookViewId="0">
      <selection activeCell="C58" sqref="C58"/>
    </sheetView>
  </sheetViews>
  <sheetFormatPr defaultColWidth="0" defaultRowHeight="25.8" zeroHeight="1" x14ac:dyDescent="0.5"/>
  <cols>
    <col min="1" max="1" width="16.5546875" style="136" customWidth="1"/>
    <col min="2" max="2" width="50.33203125" style="136" customWidth="1"/>
    <col min="3" max="3" width="35.6640625" style="136" customWidth="1"/>
    <col min="4" max="4" width="5.88671875" style="136" customWidth="1"/>
    <col min="5" max="9" width="25.77734375" style="136" customWidth="1"/>
    <col min="10" max="10" width="33.5546875" style="136" customWidth="1"/>
    <col min="11" max="16" width="25.77734375" style="136" customWidth="1"/>
    <col min="17" max="17" width="14.6640625" style="136" customWidth="1"/>
    <col min="18" max="18" width="17.5546875" style="136" customWidth="1"/>
    <col min="19" max="20" width="16.44140625" style="136" customWidth="1"/>
    <col min="21" max="21" width="26.6640625" style="160" customWidth="1"/>
    <col min="22" max="28" width="8.88671875" style="160" customWidth="1"/>
    <col min="29" max="16382" width="16.44140625" style="160" hidden="1"/>
    <col min="16383" max="16383" width="4" style="160" customWidth="1"/>
    <col min="16384" max="16384" width="7.5546875" style="160" customWidth="1"/>
  </cols>
  <sheetData>
    <row r="1" spans="1:27" s="195" customFormat="1" x14ac:dyDescent="0.3">
      <c r="A1" s="191" t="s">
        <v>228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/>
      <c r="U1" s="194"/>
    </row>
    <row r="2" spans="1:27" x14ac:dyDescent="0.5">
      <c r="A2" s="416" t="s">
        <v>54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T2" s="196"/>
      <c r="U2" s="197"/>
    </row>
    <row r="3" spans="1:27" x14ac:dyDescent="0.5">
      <c r="A3" s="529" t="s">
        <v>245</v>
      </c>
      <c r="B3" s="530"/>
      <c r="C3" s="530"/>
      <c r="D3" s="530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7"/>
      <c r="T3" s="196"/>
      <c r="U3" s="197"/>
    </row>
    <row r="4" spans="1:27" x14ac:dyDescent="0.5">
      <c r="A4" s="198"/>
      <c r="B4" s="198"/>
      <c r="C4" s="198"/>
      <c r="D4" s="198"/>
      <c r="E4" s="198"/>
      <c r="F4" s="198"/>
    </row>
    <row r="5" spans="1:27" s="203" customFormat="1" ht="25.5" customHeight="1" x14ac:dyDescent="0.3">
      <c r="A5" s="417" t="s">
        <v>4</v>
      </c>
      <c r="B5" s="527" t="s">
        <v>35</v>
      </c>
      <c r="C5" s="527" t="s">
        <v>246</v>
      </c>
      <c r="D5" s="199"/>
      <c r="E5" s="528" t="s">
        <v>1</v>
      </c>
      <c r="F5" s="528"/>
      <c r="G5" s="525" t="s">
        <v>36</v>
      </c>
      <c r="H5" s="520" t="s">
        <v>37</v>
      </c>
      <c r="I5" s="521"/>
      <c r="J5" s="521"/>
      <c r="K5" s="522" t="s">
        <v>138</v>
      </c>
      <c r="L5" s="522" t="s">
        <v>162</v>
      </c>
      <c r="M5" s="522" t="s">
        <v>38</v>
      </c>
      <c r="N5" s="522" t="s">
        <v>39</v>
      </c>
      <c r="O5" s="527" t="s">
        <v>2</v>
      </c>
      <c r="P5" s="528" t="s">
        <v>0</v>
      </c>
      <c r="Q5" s="528" t="s">
        <v>40</v>
      </c>
      <c r="R5" s="517"/>
      <c r="S5" s="200"/>
      <c r="T5" s="201"/>
      <c r="U5" s="202"/>
    </row>
    <row r="6" spans="1:27" s="203" customFormat="1" ht="42" customHeight="1" x14ac:dyDescent="0.3">
      <c r="A6" s="417"/>
      <c r="B6" s="527"/>
      <c r="C6" s="527"/>
      <c r="D6" s="199"/>
      <c r="E6" s="204" t="s">
        <v>64</v>
      </c>
      <c r="F6" s="204" t="s">
        <v>41</v>
      </c>
      <c r="G6" s="526"/>
      <c r="H6" s="204" t="s">
        <v>41</v>
      </c>
      <c r="I6" s="204" t="s">
        <v>42</v>
      </c>
      <c r="J6" s="204" t="s">
        <v>43</v>
      </c>
      <c r="K6" s="522"/>
      <c r="L6" s="522"/>
      <c r="M6" s="522"/>
      <c r="N6" s="522"/>
      <c r="O6" s="527"/>
      <c r="P6" s="528"/>
      <c r="Q6" s="528"/>
      <c r="R6" s="517"/>
      <c r="S6" s="254"/>
      <c r="T6" s="255" t="s">
        <v>443</v>
      </c>
      <c r="U6" s="255" t="s">
        <v>444</v>
      </c>
      <c r="V6" s="254"/>
      <c r="W6" s="254"/>
      <c r="X6" s="254"/>
      <c r="Y6" s="254"/>
      <c r="Z6" s="254"/>
      <c r="AA6" s="254"/>
    </row>
    <row r="7" spans="1:27" ht="46.8" x14ac:dyDescent="0.5">
      <c r="A7" s="212" t="str">
        <f>'Quadro Geral'!A8</f>
        <v>Comissão de planejamento e finanças</v>
      </c>
      <c r="B7" s="213" t="str">
        <f>'Quadro Geral'!C8</f>
        <v>Manutenção das atividades operacionais da comissão de planejamento e finanças</v>
      </c>
      <c r="C7" s="214">
        <f>'Quadro Geral'!I8</f>
        <v>42190.75</v>
      </c>
      <c r="D7" s="199"/>
      <c r="E7" s="395"/>
      <c r="F7" s="395"/>
      <c r="G7" s="395"/>
      <c r="H7" s="395">
        <v>42190.75</v>
      </c>
      <c r="I7" s="395"/>
      <c r="J7" s="395"/>
      <c r="K7" s="395"/>
      <c r="L7" s="395"/>
      <c r="M7" s="395"/>
      <c r="N7" s="393">
        <f t="shared" ref="N7:N32" si="0">SUM(E7:M7)</f>
        <v>42190.75</v>
      </c>
      <c r="O7" s="394"/>
      <c r="P7" s="393">
        <f>N7+O7</f>
        <v>42190.75</v>
      </c>
      <c r="Q7" s="393">
        <f t="shared" ref="Q7:Q50" si="1">IFERROR(P7/$P$53*100,0)</f>
        <v>0.18954928267796475</v>
      </c>
      <c r="R7" s="215" t="b">
        <f t="shared" ref="R7:R32" si="2">C7=P7</f>
        <v>1</v>
      </c>
      <c r="S7" s="205"/>
      <c r="T7" s="136" t="str">
        <f>'Quadro Geral'!B8</f>
        <v>A</v>
      </c>
      <c r="U7" s="136" t="str">
        <f>'Quadro Geral'!E8</f>
        <v>Assegurar a sustentabilidade financeira</v>
      </c>
    </row>
    <row r="8" spans="1:27" ht="46.8" x14ac:dyDescent="0.5">
      <c r="A8" s="212" t="str">
        <f>'Quadro Geral'!A9</f>
        <v>Comissão de planejamento e finanças</v>
      </c>
      <c r="B8" s="213" t="str">
        <f>'Quadro Geral'!C9</f>
        <v>Pagamento do CSC - centro de serviços compartilhados - 87,3%</v>
      </c>
      <c r="C8" s="214">
        <f>'Quadro Geral'!I9</f>
        <v>1177153.08</v>
      </c>
      <c r="D8" s="199"/>
      <c r="E8" s="395"/>
      <c r="F8" s="395"/>
      <c r="G8" s="395"/>
      <c r="H8" s="395"/>
      <c r="I8" s="395"/>
      <c r="J8" s="395"/>
      <c r="K8" s="395">
        <f>C8</f>
        <v>1177153.08</v>
      </c>
      <c r="L8" s="395"/>
      <c r="M8" s="395"/>
      <c r="N8" s="393">
        <f t="shared" si="0"/>
        <v>1177153.08</v>
      </c>
      <c r="O8" s="394"/>
      <c r="P8" s="393">
        <f t="shared" ref="P8:P22" si="3">N8+O8</f>
        <v>1177153.08</v>
      </c>
      <c r="Q8" s="393">
        <f t="shared" si="1"/>
        <v>5.2885649559715544</v>
      </c>
      <c r="R8" s="215" t="b">
        <f t="shared" si="2"/>
        <v>1</v>
      </c>
      <c r="S8" s="205"/>
      <c r="T8" s="136" t="str">
        <f>'Quadro Geral'!B9</f>
        <v>A</v>
      </c>
      <c r="U8" s="136" t="str">
        <f>'Quadro Geral'!E9</f>
        <v>Tornar a fiscalização um vetor de melhoria do exercício da Arquitetura e Urbanismo</v>
      </c>
    </row>
    <row r="9" spans="1:27" ht="46.8" x14ac:dyDescent="0.5">
      <c r="A9" s="212" t="str">
        <f>'Quadro Geral'!A10</f>
        <v>Comissão de planejamento e finanças</v>
      </c>
      <c r="B9" s="213" t="str">
        <f>'Quadro Geral'!C10</f>
        <v>Pagamento do CSC - centro de serviços compartilhados - 12,7%</v>
      </c>
      <c r="C9" s="214">
        <f>'Quadro Geral'!I10</f>
        <v>140403.84</v>
      </c>
      <c r="D9" s="199"/>
      <c r="E9" s="395"/>
      <c r="F9" s="395"/>
      <c r="G9" s="395"/>
      <c r="H9" s="395"/>
      <c r="I9" s="395"/>
      <c r="J9" s="395"/>
      <c r="K9" s="395">
        <f>C9</f>
        <v>140403.84</v>
      </c>
      <c r="L9" s="395"/>
      <c r="M9" s="395"/>
      <c r="N9" s="393">
        <f t="shared" si="0"/>
        <v>140403.84</v>
      </c>
      <c r="O9" s="394"/>
      <c r="P9" s="393">
        <f t="shared" si="3"/>
        <v>140403.84</v>
      </c>
      <c r="Q9" s="393">
        <f t="shared" si="1"/>
        <v>0.63078867185892007</v>
      </c>
      <c r="R9" s="215" t="b">
        <f t="shared" si="2"/>
        <v>1</v>
      </c>
      <c r="S9" s="205"/>
      <c r="T9" s="136" t="str">
        <f>'Quadro Geral'!B10</f>
        <v>A</v>
      </c>
      <c r="U9" s="136" t="str">
        <f>'Quadro Geral'!E10</f>
        <v>Assegurar a eficácia no atendimento e no relacionamento com os Arquitetos e Urbanistas e a Sociedade</v>
      </c>
    </row>
    <row r="10" spans="1:27" ht="46.8" x14ac:dyDescent="0.5">
      <c r="A10" s="212" t="str">
        <f>'Quadro Geral'!A11</f>
        <v>Comissão de planejamento e finanças</v>
      </c>
      <c r="B10" s="213" t="str">
        <f>'Quadro Geral'!C11</f>
        <v>Pagamento do fundo de apoio</v>
      </c>
      <c r="C10" s="214">
        <f>'Quadro Geral'!I11</f>
        <v>273150.81</v>
      </c>
      <c r="D10" s="199"/>
      <c r="E10" s="395"/>
      <c r="F10" s="395"/>
      <c r="G10" s="395"/>
      <c r="H10" s="395"/>
      <c r="I10" s="395"/>
      <c r="J10" s="395"/>
      <c r="K10" s="395">
        <v>273150.81</v>
      </c>
      <c r="L10" s="395"/>
      <c r="M10" s="395"/>
      <c r="N10" s="393">
        <f t="shared" si="0"/>
        <v>273150.81</v>
      </c>
      <c r="O10" s="394"/>
      <c r="P10" s="393">
        <f t="shared" si="3"/>
        <v>273150.81</v>
      </c>
      <c r="Q10" s="393">
        <f t="shared" si="1"/>
        <v>1.2271775234714966</v>
      </c>
      <c r="R10" s="215" t="b">
        <f t="shared" si="2"/>
        <v>1</v>
      </c>
      <c r="S10" s="205"/>
      <c r="T10" s="136" t="str">
        <f>'Quadro Geral'!B11</f>
        <v>A</v>
      </c>
      <c r="U10" s="136" t="str">
        <f>'Quadro Geral'!E11</f>
        <v>Assegurar a sustentabilidade financeira</v>
      </c>
    </row>
    <row r="11" spans="1:27" ht="46.8" x14ac:dyDescent="0.5">
      <c r="A11" s="212" t="str">
        <f>'Quadro Geral'!A12</f>
        <v>Comissão de organização e administração</v>
      </c>
      <c r="B11" s="213" t="str">
        <f>'Quadro Geral'!C12</f>
        <v>Manutenção das atividades operacionais da comissão de organização e administração</v>
      </c>
      <c r="C11" s="381">
        <f>'Quadro Geral'!I12</f>
        <v>20323.150000000001</v>
      </c>
      <c r="D11" s="382"/>
      <c r="E11" s="395"/>
      <c r="F11" s="395"/>
      <c r="G11" s="395"/>
      <c r="H11" s="395">
        <v>20323.150000000001</v>
      </c>
      <c r="I11" s="395"/>
      <c r="J11" s="395"/>
      <c r="K11" s="395"/>
      <c r="L11" s="395"/>
      <c r="M11" s="395"/>
      <c r="N11" s="393">
        <f t="shared" si="0"/>
        <v>20323.150000000001</v>
      </c>
      <c r="O11" s="394"/>
      <c r="P11" s="393">
        <f t="shared" si="3"/>
        <v>20323.150000000001</v>
      </c>
      <c r="Q11" s="393">
        <f t="shared" si="1"/>
        <v>9.1305286212183465E-2</v>
      </c>
      <c r="R11" s="215" t="b">
        <f t="shared" si="2"/>
        <v>1</v>
      </c>
      <c r="S11" s="205"/>
      <c r="T11" s="136" t="str">
        <f>'Quadro Geral'!B12</f>
        <v>A</v>
      </c>
      <c r="U11" s="136" t="str">
        <f>'Quadro Geral'!E12</f>
        <v>Aprimorar e inovar os processos e as ações</v>
      </c>
    </row>
    <row r="12" spans="1:27" ht="46.8" x14ac:dyDescent="0.5">
      <c r="A12" s="212" t="str">
        <f>'Quadro Geral'!A13</f>
        <v>Comissão de organização e administração</v>
      </c>
      <c r="B12" s="213" t="str">
        <f>'Quadro Geral'!C13</f>
        <v>Capacitação de conselheiros e funcionários nas áreas técnicas e comportamentais</v>
      </c>
      <c r="C12" s="214">
        <f>'Quadro Geral'!I13</f>
        <v>10449.122542071578</v>
      </c>
      <c r="D12" s="199"/>
      <c r="E12" s="594"/>
      <c r="F12" s="594"/>
      <c r="G12" s="594"/>
      <c r="H12" s="594"/>
      <c r="I12" s="594"/>
      <c r="J12" s="594">
        <f>C12</f>
        <v>10449.122542071578</v>
      </c>
      <c r="K12" s="594"/>
      <c r="L12" s="594"/>
      <c r="M12" s="594"/>
      <c r="N12" s="595">
        <f t="shared" si="0"/>
        <v>10449.122542071578</v>
      </c>
      <c r="O12" s="596"/>
      <c r="P12" s="595">
        <f t="shared" si="3"/>
        <v>10449.122542071578</v>
      </c>
      <c r="Q12" s="393">
        <f t="shared" si="1"/>
        <v>4.6944500452440863E-2</v>
      </c>
      <c r="R12" s="215" t="b">
        <f t="shared" si="2"/>
        <v>1</v>
      </c>
      <c r="S12" s="205"/>
      <c r="T12" s="136" t="str">
        <f>'Quadro Geral'!B13</f>
        <v>A</v>
      </c>
      <c r="U12" s="136" t="str">
        <f>'Quadro Geral'!E13</f>
        <v>Desenvolver competências de dirigentes e colaboradores</v>
      </c>
    </row>
    <row r="13" spans="1:27" ht="31.2" x14ac:dyDescent="0.5">
      <c r="A13" s="212" t="str">
        <f>'Quadro Geral'!A14</f>
        <v>Comissão de ética e disciplina</v>
      </c>
      <c r="B13" s="213" t="str">
        <f>'Quadro Geral'!C14</f>
        <v>Manutenção das atividades operacionais da comissão de ética e disciplina</v>
      </c>
      <c r="C13" s="214">
        <f>'Quadro Geral'!I14</f>
        <v>30675.25</v>
      </c>
      <c r="D13" s="199"/>
      <c r="E13" s="395"/>
      <c r="F13" s="395"/>
      <c r="G13" s="395"/>
      <c r="H13" s="395">
        <v>30675.25</v>
      </c>
      <c r="I13" s="395"/>
      <c r="J13" s="395"/>
      <c r="K13" s="395"/>
      <c r="L13" s="395"/>
      <c r="M13" s="395"/>
      <c r="N13" s="393">
        <f t="shared" si="0"/>
        <v>30675.25</v>
      </c>
      <c r="O13" s="394"/>
      <c r="P13" s="393">
        <f t="shared" si="3"/>
        <v>30675.25</v>
      </c>
      <c r="Q13" s="393">
        <f t="shared" si="1"/>
        <v>0.13781389601908567</v>
      </c>
      <c r="R13" s="215" t="b">
        <f t="shared" si="2"/>
        <v>1</v>
      </c>
      <c r="S13" s="205"/>
      <c r="T13" s="136" t="str">
        <f>'Quadro Geral'!B14</f>
        <v>A</v>
      </c>
      <c r="U13" s="136" t="str">
        <f>'Quadro Geral'!E14</f>
        <v>Promover o exercício ético e qualificado da profissão</v>
      </c>
    </row>
    <row r="14" spans="1:27" ht="46.8" x14ac:dyDescent="0.5">
      <c r="A14" s="212" t="str">
        <f>'Quadro Geral'!A15</f>
        <v>Comissão de ensino e formação</v>
      </c>
      <c r="B14" s="213" t="str">
        <f>'Quadro Geral'!C15</f>
        <v>Manutenção das atividades operacionais da comissão de ensino e formação</v>
      </c>
      <c r="C14" s="380">
        <f>'Quadro Geral'!I15</f>
        <v>43939.4</v>
      </c>
      <c r="D14" s="199"/>
      <c r="E14" s="395"/>
      <c r="F14" s="395"/>
      <c r="G14" s="395"/>
      <c r="H14" s="395">
        <v>43939.4</v>
      </c>
      <c r="I14" s="395"/>
      <c r="J14" s="395"/>
      <c r="K14" s="395"/>
      <c r="L14" s="395"/>
      <c r="M14" s="395"/>
      <c r="N14" s="393">
        <f t="shared" si="0"/>
        <v>43939.4</v>
      </c>
      <c r="O14" s="394"/>
      <c r="P14" s="393">
        <f t="shared" si="3"/>
        <v>43939.4</v>
      </c>
      <c r="Q14" s="393">
        <f t="shared" si="1"/>
        <v>0.19740539694838716</v>
      </c>
      <c r="R14" s="215" t="b">
        <f t="shared" si="2"/>
        <v>1</v>
      </c>
      <c r="S14" s="205"/>
      <c r="T14" s="136" t="str">
        <f>'Quadro Geral'!B15</f>
        <v>A</v>
      </c>
      <c r="U14" s="136" t="str">
        <f>'Quadro Geral'!E15</f>
        <v>Influenciar as diretrizes do ensino de Arquitetura e Urbanismo e sua formação continuada</v>
      </c>
    </row>
    <row r="15" spans="1:27" ht="46.8" x14ac:dyDescent="0.5">
      <c r="A15" s="212" t="str">
        <f>'Quadro Geral'!A16</f>
        <v>Comissão de exercício profissional</v>
      </c>
      <c r="B15" s="213" t="str">
        <f>'Quadro Geral'!C16</f>
        <v>Manutenção das atividades operacionais da comissão de exercício profissional</v>
      </c>
      <c r="C15" s="214">
        <f>'Quadro Geral'!I16</f>
        <v>76374.25</v>
      </c>
      <c r="D15" s="199"/>
      <c r="E15" s="395"/>
      <c r="F15" s="395"/>
      <c r="G15" s="395"/>
      <c r="H15" s="395">
        <v>76374.25</v>
      </c>
      <c r="I15" s="395"/>
      <c r="J15" s="395"/>
      <c r="K15" s="395"/>
      <c r="L15" s="395"/>
      <c r="M15" s="395"/>
      <c r="N15" s="393">
        <f t="shared" si="0"/>
        <v>76374.25</v>
      </c>
      <c r="O15" s="394"/>
      <c r="P15" s="393">
        <f t="shared" si="3"/>
        <v>76374.25</v>
      </c>
      <c r="Q15" s="393">
        <f t="shared" si="1"/>
        <v>0.34312460201744571</v>
      </c>
      <c r="R15" s="215" t="b">
        <f t="shared" si="2"/>
        <v>1</v>
      </c>
      <c r="S15" s="205"/>
      <c r="T15" s="136" t="str">
        <f>'Quadro Geral'!B16</f>
        <v>A</v>
      </c>
      <c r="U15" s="136" t="str">
        <f>'Quadro Geral'!E16</f>
        <v>Tornar a fiscalização um vetor de melhoria do exercício da Arquitetura e Urbanismo</v>
      </c>
    </row>
    <row r="16" spans="1:27" ht="46.8" x14ac:dyDescent="0.5">
      <c r="A16" s="212" t="str">
        <f>'Quadro Geral'!A17</f>
        <v>Comissão de política urbana e ambiental</v>
      </c>
      <c r="B16" s="213" t="str">
        <f>'Quadro Geral'!C17</f>
        <v>Manutenção das atividades operacionais da CPUA - comissão de políticas urbanas e ambientais</v>
      </c>
      <c r="C16" s="380">
        <f>'Quadro Geral'!I17</f>
        <v>20323.150000000001</v>
      </c>
      <c r="D16" s="199"/>
      <c r="E16" s="395"/>
      <c r="F16" s="395"/>
      <c r="G16" s="395"/>
      <c r="H16" s="395">
        <v>20323.150000000001</v>
      </c>
      <c r="I16" s="395"/>
      <c r="J16" s="395"/>
      <c r="K16" s="395"/>
      <c r="L16" s="395"/>
      <c r="M16" s="395"/>
      <c r="N16" s="393">
        <f t="shared" si="0"/>
        <v>20323.150000000001</v>
      </c>
      <c r="O16" s="394"/>
      <c r="P16" s="393">
        <f t="shared" si="3"/>
        <v>20323.150000000001</v>
      </c>
      <c r="Q16" s="393">
        <f t="shared" si="1"/>
        <v>9.1305286212183465E-2</v>
      </c>
      <c r="R16" s="215" t="b">
        <f t="shared" si="2"/>
        <v>1</v>
      </c>
      <c r="S16" s="205"/>
      <c r="T16" s="136" t="str">
        <f>'Quadro Geral'!B17</f>
        <v>A</v>
      </c>
      <c r="U16" s="136" t="str">
        <f>'Quadro Geral'!E17</f>
        <v>Estimular a produção da Arquitetura e Urbanismo como política de Estado</v>
      </c>
    </row>
    <row r="17" spans="1:21" ht="60" customHeight="1" x14ac:dyDescent="0.5">
      <c r="A17" s="212" t="str">
        <f>'Quadro Geral'!A18</f>
        <v>Colegiado das entidades estaduais de arquitetos e urbanistas do CAU/RS</v>
      </c>
      <c r="B17" s="213" t="str">
        <f>'Quadro Geral'!C18</f>
        <v>Manutenção das atividades operacionais do CEAU - colegiado das entidades estaduais de arquitetos e urbanistas do CAU/RS</v>
      </c>
      <c r="C17" s="380">
        <f>'Quadro Geral'!I18</f>
        <v>31504.400000000001</v>
      </c>
      <c r="D17" s="199"/>
      <c r="E17" s="395"/>
      <c r="F17" s="395"/>
      <c r="G17" s="395"/>
      <c r="H17" s="395">
        <v>31504.400000000001</v>
      </c>
      <c r="I17" s="395"/>
      <c r="J17" s="395"/>
      <c r="K17" s="395"/>
      <c r="L17" s="395"/>
      <c r="M17" s="395"/>
      <c r="N17" s="393">
        <f t="shared" si="0"/>
        <v>31504.400000000001</v>
      </c>
      <c r="O17" s="394"/>
      <c r="P17" s="393">
        <f t="shared" si="3"/>
        <v>31504.400000000001</v>
      </c>
      <c r="Q17" s="393">
        <f t="shared" si="1"/>
        <v>0.14153899660943864</v>
      </c>
      <c r="R17" s="215" t="b">
        <f t="shared" si="2"/>
        <v>1</v>
      </c>
      <c r="S17" s="205"/>
      <c r="T17" s="136" t="str">
        <f>'Quadro Geral'!B18</f>
        <v>A</v>
      </c>
      <c r="U17" s="136" t="str">
        <f>'Quadro Geral'!E18</f>
        <v>Estimular o conhecimento, o uso de processos criativos e a difusão das melhores práticas em Arquitetura e Urbanismo</v>
      </c>
    </row>
    <row r="18" spans="1:21" ht="46.8" x14ac:dyDescent="0.5">
      <c r="A18" s="212" t="str">
        <f>'Quadro Geral'!A19</f>
        <v>Comissão de patrimônio cultural</v>
      </c>
      <c r="B18" s="213" t="str">
        <f>'Quadro Geral'!C19</f>
        <v>Manutenção das atividades operacionais da comissão de patrimônio cultural</v>
      </c>
      <c r="C18" s="380">
        <f>'Quadro Geral'!I19</f>
        <v>20323.150000000001</v>
      </c>
      <c r="D18" s="199"/>
      <c r="E18" s="395"/>
      <c r="F18" s="395"/>
      <c r="G18" s="395"/>
      <c r="H18" s="395">
        <v>20323.150000000001</v>
      </c>
      <c r="I18" s="395"/>
      <c r="J18" s="395"/>
      <c r="K18" s="395"/>
      <c r="L18" s="395"/>
      <c r="M18" s="395"/>
      <c r="N18" s="393">
        <f t="shared" si="0"/>
        <v>20323.150000000001</v>
      </c>
      <c r="O18" s="394"/>
      <c r="P18" s="393">
        <f t="shared" si="3"/>
        <v>20323.150000000001</v>
      </c>
      <c r="Q18" s="393">
        <f t="shared" si="1"/>
        <v>9.1305286212183465E-2</v>
      </c>
      <c r="R18" s="215" t="b">
        <f t="shared" si="2"/>
        <v>1</v>
      </c>
      <c r="S18" s="205"/>
      <c r="T18" s="136" t="str">
        <f>'Quadro Geral'!B19</f>
        <v>A</v>
      </c>
      <c r="U18" s="136" t="str">
        <f>'Quadro Geral'!E19</f>
        <v>Estimular a produção da Arquitetura e Urbanismo como política de Estado</v>
      </c>
    </row>
    <row r="19" spans="1:21" ht="31.2" x14ac:dyDescent="0.5">
      <c r="A19" s="212" t="str">
        <f>'Quadro Geral'!A20</f>
        <v>Presidência</v>
      </c>
      <c r="B19" s="213" t="str">
        <f>'Quadro Geral'!C20</f>
        <v>Manutenção das atividades da presidência/plenário/conselho diretor</v>
      </c>
      <c r="C19" s="214">
        <f>'Quadro Geral'!I20</f>
        <v>159679.70000000001</v>
      </c>
      <c r="D19" s="199"/>
      <c r="E19" s="395"/>
      <c r="F19" s="395"/>
      <c r="G19" s="395"/>
      <c r="H19" s="395">
        <v>159679.70000000001</v>
      </c>
      <c r="I19" s="395"/>
      <c r="J19" s="395"/>
      <c r="K19" s="395"/>
      <c r="L19" s="395"/>
      <c r="M19" s="395"/>
      <c r="N19" s="393">
        <f t="shared" si="0"/>
        <v>159679.70000000001</v>
      </c>
      <c r="O19" s="394"/>
      <c r="P19" s="393">
        <f t="shared" si="3"/>
        <v>159679.70000000001</v>
      </c>
      <c r="Q19" s="393">
        <f t="shared" si="1"/>
        <v>0.71738882558932016</v>
      </c>
      <c r="R19" s="215" t="b">
        <f t="shared" si="2"/>
        <v>1</v>
      </c>
      <c r="S19" s="205"/>
      <c r="T19" s="136" t="str">
        <f>'Quadro Geral'!B20</f>
        <v>A</v>
      </c>
      <c r="U19" s="136" t="str">
        <f>'Quadro Geral'!E20</f>
        <v>Construir cultura organizacional adequada à estratégia</v>
      </c>
    </row>
    <row r="20" spans="1:21" ht="31.2" x14ac:dyDescent="0.5">
      <c r="A20" s="212" t="str">
        <f>'Quadro Geral'!A21</f>
        <v>Presidência</v>
      </c>
      <c r="B20" s="213" t="str">
        <f>'Quadro Geral'!C21</f>
        <v xml:space="preserve">Edital de apoio institucional de interesse do conselho </v>
      </c>
      <c r="C20" s="214">
        <f>'Quadro Geral'!I21</f>
        <v>64809</v>
      </c>
      <c r="D20" s="199"/>
      <c r="E20" s="395"/>
      <c r="F20" s="395"/>
      <c r="G20" s="395"/>
      <c r="H20" s="395"/>
      <c r="I20" s="395"/>
      <c r="J20" s="395"/>
      <c r="K20" s="395">
        <v>64809</v>
      </c>
      <c r="L20" s="395"/>
      <c r="M20" s="395"/>
      <c r="N20" s="393">
        <f t="shared" si="0"/>
        <v>64809</v>
      </c>
      <c r="O20" s="394"/>
      <c r="P20" s="393">
        <f t="shared" si="3"/>
        <v>64809</v>
      </c>
      <c r="Q20" s="393">
        <f t="shared" si="1"/>
        <v>0.29116570483047155</v>
      </c>
      <c r="R20" s="215" t="b">
        <f t="shared" si="2"/>
        <v>1</v>
      </c>
      <c r="S20" s="205"/>
      <c r="T20" s="136" t="str">
        <f>'Quadro Geral'!B21</f>
        <v>P</v>
      </c>
      <c r="U20" s="136" t="str">
        <f>'Quadro Geral'!E21</f>
        <v>Estimular o conhecimento, o uso de processos criativos e a difusão das melhores práticas em Arquitetura e Urbanismo</v>
      </c>
    </row>
    <row r="21" spans="1:21" ht="31.2" x14ac:dyDescent="0.5">
      <c r="A21" s="212" t="str">
        <f>'Quadro Geral'!A22</f>
        <v>Presidência</v>
      </c>
      <c r="B21" s="213" t="str">
        <f>'Quadro Geral'!C22</f>
        <v xml:space="preserve">Edital de patrocínios para projetos de entidades de arquitetos e urbanistas </v>
      </c>
      <c r="C21" s="214">
        <f>'Quadro Geral'!I22</f>
        <v>129618</v>
      </c>
      <c r="D21" s="199"/>
      <c r="E21" s="395"/>
      <c r="F21" s="395"/>
      <c r="G21" s="395"/>
      <c r="H21" s="395"/>
      <c r="I21" s="395"/>
      <c r="J21" s="395"/>
      <c r="K21" s="395">
        <v>129618</v>
      </c>
      <c r="L21" s="395"/>
      <c r="M21" s="395"/>
      <c r="N21" s="393">
        <f t="shared" si="0"/>
        <v>129618</v>
      </c>
      <c r="O21" s="394"/>
      <c r="P21" s="393">
        <f t="shared" si="3"/>
        <v>129618</v>
      </c>
      <c r="Q21" s="393">
        <f t="shared" si="1"/>
        <v>0.5823314096609431</v>
      </c>
      <c r="R21" s="215" t="b">
        <f t="shared" si="2"/>
        <v>1</v>
      </c>
      <c r="S21" s="205"/>
      <c r="T21" s="136" t="str">
        <f>'Quadro Geral'!B22</f>
        <v>P</v>
      </c>
      <c r="U21" s="136" t="str">
        <f>'Quadro Geral'!E22</f>
        <v>Estimular o conhecimento, o uso de processos criativos e a difusão das melhores práticas em Arquitetura e Urbanismo</v>
      </c>
    </row>
    <row r="22" spans="1:21" x14ac:dyDescent="0.5">
      <c r="A22" s="212" t="str">
        <f>'Quadro Geral'!A23</f>
        <v>Presidência</v>
      </c>
      <c r="B22" s="213" t="str">
        <f>'Quadro Geral'!C23</f>
        <v>Edital de patrocínios para publicações</v>
      </c>
      <c r="C22" s="214">
        <f>'Quadro Geral'!I23</f>
        <v>74190</v>
      </c>
      <c r="D22" s="199"/>
      <c r="E22" s="395"/>
      <c r="F22" s="395"/>
      <c r="G22" s="395"/>
      <c r="H22" s="395"/>
      <c r="I22" s="395"/>
      <c r="J22" s="395"/>
      <c r="K22" s="395">
        <v>74190</v>
      </c>
      <c r="L22" s="395"/>
      <c r="M22" s="395"/>
      <c r="N22" s="393">
        <f t="shared" si="0"/>
        <v>74190</v>
      </c>
      <c r="O22" s="394"/>
      <c r="P22" s="393">
        <f t="shared" si="3"/>
        <v>74190</v>
      </c>
      <c r="Q22" s="393">
        <f t="shared" si="1"/>
        <v>0.33331147898243585</v>
      </c>
      <c r="R22" s="215" t="b">
        <f t="shared" si="2"/>
        <v>1</v>
      </c>
      <c r="S22" s="205"/>
      <c r="T22" s="136" t="str">
        <f>'Quadro Geral'!B23</f>
        <v>P</v>
      </c>
      <c r="U22" s="136" t="str">
        <f>'Quadro Geral'!E23</f>
        <v>Estimular o conhecimento, o uso de processos criativos e a difusão das melhores práticas em Arquitetura e Urbanismo</v>
      </c>
    </row>
    <row r="23" spans="1:21" x14ac:dyDescent="0.5">
      <c r="A23" s="212" t="str">
        <f>'Quadro Geral'!A26</f>
        <v>Presidência</v>
      </c>
      <c r="B23" s="213" t="str">
        <f>'Quadro Geral'!C26</f>
        <v>Pesquisa junto às universidades</v>
      </c>
      <c r="C23" s="214">
        <f>'Quadro Geral'!I26</f>
        <v>400000</v>
      </c>
      <c r="D23" s="199"/>
      <c r="E23" s="395"/>
      <c r="F23" s="395"/>
      <c r="G23" s="395"/>
      <c r="H23" s="395"/>
      <c r="I23" s="395"/>
      <c r="J23" s="395">
        <v>400000</v>
      </c>
      <c r="K23" s="395"/>
      <c r="L23" s="395"/>
      <c r="M23" s="395"/>
      <c r="N23" s="393">
        <f t="shared" si="0"/>
        <v>400000</v>
      </c>
      <c r="O23" s="394"/>
      <c r="P23" s="393">
        <f t="shared" ref="P23:P32" si="4">N23+O23</f>
        <v>400000</v>
      </c>
      <c r="Q23" s="393">
        <f t="shared" si="1"/>
        <v>1.7970695726239969</v>
      </c>
      <c r="R23" s="215" t="b">
        <f t="shared" si="2"/>
        <v>1</v>
      </c>
      <c r="S23" s="205"/>
      <c r="T23" s="136" t="str">
        <f>'Quadro Geral'!B26</f>
        <v>PE</v>
      </c>
      <c r="U23" s="136" t="str">
        <f>'Quadro Geral'!E26</f>
        <v>Estimular o conhecimento, o uso de processos criativos e a difusão das melhores práticas em Arquitetura e Urbanismo</v>
      </c>
    </row>
    <row r="24" spans="1:21" x14ac:dyDescent="0.5">
      <c r="A24" s="212" t="str">
        <f>'Quadro Geral'!A30</f>
        <v>Presidência</v>
      </c>
      <c r="B24" s="213" t="str">
        <f>'Quadro Geral'!C30</f>
        <v>Projeto especial LGPD</v>
      </c>
      <c r="C24" s="214">
        <f>'Quadro Geral'!I30</f>
        <v>150000</v>
      </c>
      <c r="D24" s="199"/>
      <c r="E24" s="395"/>
      <c r="F24" s="395"/>
      <c r="G24" s="395"/>
      <c r="H24" s="395"/>
      <c r="I24" s="395"/>
      <c r="J24" s="395">
        <v>150000</v>
      </c>
      <c r="K24" s="395"/>
      <c r="L24" s="395"/>
      <c r="M24" s="395"/>
      <c r="N24" s="393">
        <f t="shared" si="0"/>
        <v>150000</v>
      </c>
      <c r="O24" s="394"/>
      <c r="P24" s="393">
        <f t="shared" si="4"/>
        <v>150000</v>
      </c>
      <c r="Q24" s="393">
        <f t="shared" si="1"/>
        <v>0.67390108973399887</v>
      </c>
      <c r="R24" s="215" t="b">
        <f t="shared" si="2"/>
        <v>1</v>
      </c>
      <c r="S24" s="205"/>
      <c r="T24" s="136" t="str">
        <f>'Quadro Geral'!B31</f>
        <v>A</v>
      </c>
      <c r="U24" s="136" t="str">
        <f>'Quadro Geral'!E31</f>
        <v>Estimular a produção da Arquitetura e Urbanismo como política de Estado</v>
      </c>
    </row>
    <row r="25" spans="1:21" ht="31.2" x14ac:dyDescent="0.5">
      <c r="A25" s="212" t="str">
        <f>'Quadro Geral'!A31</f>
        <v>Gabinete da presidência</v>
      </c>
      <c r="B25" s="213" t="str">
        <f>'Quadro Geral'!C31</f>
        <v>Manutenção das Atividades do Gabinete da Presidência</v>
      </c>
      <c r="C25" s="214">
        <f>'Quadro Geral'!I31</f>
        <v>705373.25999999989</v>
      </c>
      <c r="D25" s="199"/>
      <c r="E25" s="395">
        <f>'Gabinete da Presidência'!E9+'Gabinete da Presidência'!E10</f>
        <v>694486.44</v>
      </c>
      <c r="F25" s="395"/>
      <c r="G25" s="395"/>
      <c r="H25" s="395"/>
      <c r="I25" s="395"/>
      <c r="J25" s="395">
        <v>10886.82</v>
      </c>
      <c r="K25" s="395"/>
      <c r="L25" s="395"/>
      <c r="M25" s="395"/>
      <c r="N25" s="393">
        <f t="shared" si="0"/>
        <v>705373.25999999989</v>
      </c>
      <c r="O25" s="394"/>
      <c r="P25" s="393">
        <f t="shared" si="4"/>
        <v>705373.25999999989</v>
      </c>
      <c r="Q25" s="393">
        <f t="shared" si="1"/>
        <v>3.1690120572214884</v>
      </c>
      <c r="R25" s="215" t="b">
        <f t="shared" si="2"/>
        <v>1</v>
      </c>
      <c r="S25" s="205"/>
      <c r="T25" s="136" t="str">
        <f>'Quadro Geral'!B32</f>
        <v>P</v>
      </c>
      <c r="U25" s="136" t="str">
        <f>'Quadro Geral'!E32</f>
        <v>Fomentar o acesso da sociedade à Arquitetura e Urbanismo</v>
      </c>
    </row>
    <row r="26" spans="1:21" ht="31.2" x14ac:dyDescent="0.5">
      <c r="A26" s="212" t="str">
        <f>'Quadro Geral'!A32</f>
        <v>Gabinete da presidência</v>
      </c>
      <c r="B26" s="213" t="str">
        <f>'Quadro Geral'!C32</f>
        <v>Projeto de fomento à assistência técnica em habitação de interesse social</v>
      </c>
      <c r="C26" s="214">
        <f>'Quadro Geral'!I32</f>
        <v>214066.68</v>
      </c>
      <c r="D26" s="199"/>
      <c r="E26" s="395">
        <f>'Gabinete da Presidência'!E26</f>
        <v>214066.68</v>
      </c>
      <c r="F26" s="395"/>
      <c r="G26" s="395"/>
      <c r="H26" s="395"/>
      <c r="I26" s="395"/>
      <c r="J26" s="395"/>
      <c r="K26" s="395"/>
      <c r="L26" s="395"/>
      <c r="M26" s="395"/>
      <c r="N26" s="393">
        <f t="shared" si="0"/>
        <v>214066.68</v>
      </c>
      <c r="O26" s="394"/>
      <c r="P26" s="393">
        <f t="shared" si="4"/>
        <v>214066.68</v>
      </c>
      <c r="Q26" s="393">
        <f t="shared" si="1"/>
        <v>0.96173179285159482</v>
      </c>
      <c r="R26" s="215" t="b">
        <f t="shared" si="2"/>
        <v>1</v>
      </c>
      <c r="S26" s="205"/>
      <c r="T26" s="136" t="str">
        <f>'Quadro Geral'!B36</f>
        <v>P</v>
      </c>
      <c r="U26" s="136" t="str">
        <f>'Quadro Geral'!E36</f>
        <v>Assegurar a eficácia no atendimento e no relacionamento com os Arquitetos e Urbanistas e a Sociedade</v>
      </c>
    </row>
    <row r="27" spans="1:21" ht="31.2" x14ac:dyDescent="0.5">
      <c r="A27" s="212" t="str">
        <f>'Quadro Geral'!A33</f>
        <v>Gabinete da presidência</v>
      </c>
      <c r="B27" s="213" t="str">
        <f>'Quadro Geral'!C33</f>
        <v>Capacitação em ATHIS</v>
      </c>
      <c r="C27" s="214">
        <f>'Quadro Geral'!I33</f>
        <v>200000</v>
      </c>
      <c r="D27" s="199"/>
      <c r="E27" s="395"/>
      <c r="F27" s="395"/>
      <c r="G27" s="395"/>
      <c r="H27" s="395"/>
      <c r="I27" s="395"/>
      <c r="J27" s="395">
        <v>200000</v>
      </c>
      <c r="K27" s="395"/>
      <c r="L27" s="395"/>
      <c r="M27" s="395"/>
      <c r="N27" s="393">
        <f t="shared" si="0"/>
        <v>200000</v>
      </c>
      <c r="O27" s="394"/>
      <c r="P27" s="393">
        <f t="shared" si="4"/>
        <v>200000</v>
      </c>
      <c r="Q27" s="393">
        <f t="shared" si="1"/>
        <v>0.89853478631199846</v>
      </c>
      <c r="R27" s="215" t="b">
        <f t="shared" si="2"/>
        <v>1</v>
      </c>
      <c r="S27" s="205"/>
      <c r="T27" s="136" t="str">
        <f>'Quadro Geral'!B37</f>
        <v>A</v>
      </c>
      <c r="U27" s="136" t="str">
        <f>'Quadro Geral'!E37</f>
        <v>Assegurar a eficácia no relacionamento e comunicação com a sociedade</v>
      </c>
    </row>
    <row r="28" spans="1:21" ht="31.2" x14ac:dyDescent="0.5">
      <c r="A28" s="212" t="str">
        <f>'Quadro Geral'!A34</f>
        <v>Gabinete da presidência</v>
      </c>
      <c r="B28" s="213" t="str">
        <f>'Quadro Geral'!C34</f>
        <v>Edital para instalação dos escritórios municipais</v>
      </c>
      <c r="C28" s="214">
        <f>'Quadro Geral'!I34</f>
        <v>430000</v>
      </c>
      <c r="D28" s="199"/>
      <c r="E28" s="395"/>
      <c r="F28" s="395"/>
      <c r="G28" s="395"/>
      <c r="H28" s="395"/>
      <c r="I28" s="395"/>
      <c r="J28" s="395">
        <v>430000</v>
      </c>
      <c r="K28" s="395"/>
      <c r="L28" s="395"/>
      <c r="M28" s="395"/>
      <c r="N28" s="393">
        <f t="shared" si="0"/>
        <v>430000</v>
      </c>
      <c r="O28" s="394"/>
      <c r="P28" s="393">
        <f t="shared" si="4"/>
        <v>430000</v>
      </c>
      <c r="Q28" s="393">
        <f t="shared" si="1"/>
        <v>1.9318497905707968</v>
      </c>
      <c r="R28" s="215" t="b">
        <f t="shared" si="2"/>
        <v>1</v>
      </c>
      <c r="S28" s="205"/>
      <c r="T28" s="136" t="str">
        <f>'Quadro Geral'!B38</f>
        <v>A</v>
      </c>
      <c r="U28" s="136" t="str">
        <f>'Quadro Geral'!E38</f>
        <v>Construir cultura organizacional adequada à estratégia</v>
      </c>
    </row>
    <row r="29" spans="1:21" ht="31.2" x14ac:dyDescent="0.5">
      <c r="A29" s="212" t="str">
        <f>'Quadro Geral'!A35</f>
        <v>Gabinete da presidência</v>
      </c>
      <c r="B29" s="213" t="str">
        <f>'Quadro Geral'!C35</f>
        <v>Projeto Nenhuma Casa sem Banheiro</v>
      </c>
      <c r="C29" s="214">
        <f>'Quadro Geral'!I35</f>
        <v>500000</v>
      </c>
      <c r="D29" s="199"/>
      <c r="E29" s="395"/>
      <c r="F29" s="395"/>
      <c r="G29" s="395"/>
      <c r="H29" s="395"/>
      <c r="I29" s="395"/>
      <c r="J29" s="395">
        <v>500000</v>
      </c>
      <c r="K29" s="395"/>
      <c r="L29" s="395"/>
      <c r="M29" s="395"/>
      <c r="N29" s="393">
        <f t="shared" si="0"/>
        <v>500000</v>
      </c>
      <c r="O29" s="394"/>
      <c r="P29" s="393">
        <f t="shared" si="4"/>
        <v>500000</v>
      </c>
      <c r="Q29" s="393">
        <f t="shared" si="1"/>
        <v>2.2463369657799959</v>
      </c>
      <c r="R29" s="215" t="b">
        <f t="shared" si="2"/>
        <v>1</v>
      </c>
      <c r="S29" s="205"/>
      <c r="T29" s="136" t="str">
        <f>'Quadro Geral'!B39</f>
        <v>A</v>
      </c>
      <c r="U29" s="136" t="str">
        <f>'Quadro Geral'!E39</f>
        <v>Construir cultura organizacional adequada à estratégia</v>
      </c>
    </row>
    <row r="30" spans="1:21" ht="31.2" x14ac:dyDescent="0.5">
      <c r="A30" s="212" t="str">
        <f>'Quadro Geral'!A36</f>
        <v>Secretaria geral da mesa</v>
      </c>
      <c r="B30" s="213" t="str">
        <f>'Quadro Geral'!C36</f>
        <v>Documentação e memória</v>
      </c>
      <c r="C30" s="214">
        <f>'Quadro Geral'!I36</f>
        <v>124500</v>
      </c>
      <c r="D30" s="199"/>
      <c r="E30" s="395"/>
      <c r="F30" s="395"/>
      <c r="G30" s="395"/>
      <c r="H30" s="395"/>
      <c r="I30" s="395"/>
      <c r="J30" s="395">
        <v>124500</v>
      </c>
      <c r="K30" s="395"/>
      <c r="L30" s="395"/>
      <c r="M30" s="395"/>
      <c r="N30" s="393">
        <f t="shared" si="0"/>
        <v>124500</v>
      </c>
      <c r="O30" s="394"/>
      <c r="P30" s="393">
        <f t="shared" si="4"/>
        <v>124500</v>
      </c>
      <c r="Q30" s="393">
        <f t="shared" si="1"/>
        <v>0.55933790447921905</v>
      </c>
      <c r="R30" s="215" t="b">
        <f t="shared" si="2"/>
        <v>1</v>
      </c>
      <c r="S30" s="205"/>
      <c r="T30" s="136" t="str">
        <f>'Quadro Geral'!B49</f>
        <v>A</v>
      </c>
      <c r="U30" s="136" t="str">
        <f>'Quadro Geral'!E49</f>
        <v>Aprimorar e inovar os processos e as ações</v>
      </c>
    </row>
    <row r="31" spans="1:21" ht="31.2" x14ac:dyDescent="0.5">
      <c r="A31" s="212" t="str">
        <f>'Quadro Geral'!A37</f>
        <v>Secretaria geral da mesa</v>
      </c>
      <c r="B31" s="213" t="str">
        <f>'Quadro Geral'!C37</f>
        <v>Promoção de eventos</v>
      </c>
      <c r="C31" s="214">
        <f>'Quadro Geral'!I37</f>
        <v>11920</v>
      </c>
      <c r="D31" s="199"/>
      <c r="E31" s="395"/>
      <c r="F31" s="395"/>
      <c r="G31" s="395"/>
      <c r="H31" s="395"/>
      <c r="I31" s="395"/>
      <c r="J31" s="395">
        <v>11920</v>
      </c>
      <c r="K31" s="395"/>
      <c r="L31" s="395"/>
      <c r="M31" s="395"/>
      <c r="N31" s="393">
        <f t="shared" si="0"/>
        <v>11920</v>
      </c>
      <c r="O31" s="394"/>
      <c r="P31" s="393">
        <f t="shared" si="4"/>
        <v>11920</v>
      </c>
      <c r="Q31" s="393">
        <f t="shared" si="1"/>
        <v>5.3552673264195105E-2</v>
      </c>
      <c r="R31" s="215" t="b">
        <f t="shared" si="2"/>
        <v>1</v>
      </c>
      <c r="S31" s="205"/>
      <c r="T31" s="136" t="str">
        <f>'Quadro Geral'!B50</f>
        <v>P</v>
      </c>
      <c r="U31" s="136" t="str">
        <f>'Quadro Geral'!E50</f>
        <v>Assegurar a eficácia no atendimento e no relacionamento com os Arquitetos e Urbanistas e a Sociedade</v>
      </c>
    </row>
    <row r="32" spans="1:21" ht="31.2" x14ac:dyDescent="0.5">
      <c r="A32" s="212" t="str">
        <f>'Quadro Geral'!A38</f>
        <v>Secretaria geral da mesa</v>
      </c>
      <c r="B32" s="213" t="str">
        <f>'Quadro Geral'!C38</f>
        <v>Manutenção das Atividades da Secretaria Geral da Mesa</v>
      </c>
      <c r="C32" s="214">
        <f>'Quadro Geral'!I38</f>
        <v>1660042.87</v>
      </c>
      <c r="D32" s="199"/>
      <c r="E32" s="395">
        <f>'Secretaria Geral da Mesa'!E9+'Secretaria Geral da Mesa'!E10</f>
        <v>1648846.08</v>
      </c>
      <c r="F32" s="395"/>
      <c r="G32" s="395"/>
      <c r="H32" s="395"/>
      <c r="I32" s="395"/>
      <c r="J32" s="395">
        <v>11196.79</v>
      </c>
      <c r="K32" s="395"/>
      <c r="L32" s="395"/>
      <c r="M32" s="395"/>
      <c r="N32" s="393">
        <f t="shared" si="0"/>
        <v>1660042.87</v>
      </c>
      <c r="O32" s="394"/>
      <c r="P32" s="393">
        <f t="shared" si="4"/>
        <v>1660042.87</v>
      </c>
      <c r="Q32" s="393">
        <f t="shared" si="1"/>
        <v>7.4580313273210335</v>
      </c>
      <c r="R32" s="215" t="b">
        <f t="shared" si="2"/>
        <v>1</v>
      </c>
      <c r="S32" s="205"/>
      <c r="T32" s="136" t="str">
        <f>'Quadro Geral'!B51</f>
        <v>A</v>
      </c>
      <c r="U32" s="136" t="str">
        <f>'Quadro Geral'!E51</f>
        <v>Tornar a fiscalização um vetor de melhoria do exercício da Arquitetura e Urbanismo</v>
      </c>
    </row>
    <row r="33" spans="1:21" ht="31.2" x14ac:dyDescent="0.5">
      <c r="A33" s="212" t="str">
        <f>'Quadro Geral'!A39</f>
        <v>Secretaria geral da mesa</v>
      </c>
      <c r="B33" s="213" t="str">
        <f>'Quadro Geral'!C39</f>
        <v>Manutenção das atividades da unidade de tecnologia da informação</v>
      </c>
      <c r="C33" s="214">
        <f>'Quadro Geral'!I39</f>
        <v>605252</v>
      </c>
      <c r="D33" s="199"/>
      <c r="E33" s="395"/>
      <c r="F33" s="395"/>
      <c r="G33" s="395"/>
      <c r="H33" s="395"/>
      <c r="I33" s="395"/>
      <c r="J33" s="395">
        <v>130252</v>
      </c>
      <c r="K33" s="395"/>
      <c r="L33" s="395"/>
      <c r="M33" s="395"/>
      <c r="N33" s="393">
        <f t="shared" ref="N33:N50" si="5">SUM(E33:M33)</f>
        <v>130252</v>
      </c>
      <c r="O33" s="394">
        <v>475000</v>
      </c>
      <c r="P33" s="393">
        <f t="shared" ref="P33:P48" si="6">N33+O33</f>
        <v>605252</v>
      </c>
      <c r="Q33" s="393">
        <f t="shared" si="1"/>
        <v>2.7191998824245487</v>
      </c>
      <c r="R33" s="215" t="b">
        <f t="shared" ref="R33:R52" si="7">C33=P33</f>
        <v>1</v>
      </c>
      <c r="S33" s="205"/>
      <c r="T33" s="136" t="str">
        <f>'Quadro Geral'!B52</f>
        <v>P</v>
      </c>
      <c r="U33" s="136" t="str">
        <f>'Quadro Geral'!E52</f>
        <v>Tornar a fiscalização um vetor de melhoria do exercício da Arquitetura e Urbanismo</v>
      </c>
    </row>
    <row r="34" spans="1:21" ht="46.8" x14ac:dyDescent="0.5">
      <c r="A34" s="212" t="str">
        <f>'Quadro Geral'!A41</f>
        <v>Secretaria geral da mesa</v>
      </c>
      <c r="B34" s="213" t="str">
        <f>'Quadro Geral'!C41</f>
        <v>Projeto Especial para Desenvolvimento e Implantação do Museu da Arquitetura e Urbanismo do Rio Grande do Sul</v>
      </c>
      <c r="C34" s="214">
        <f>'Quadro Geral'!I41</f>
        <v>150000</v>
      </c>
      <c r="D34" s="199"/>
      <c r="E34" s="395"/>
      <c r="F34" s="395"/>
      <c r="G34" s="395"/>
      <c r="H34" s="395"/>
      <c r="I34" s="395">
        <v>150000</v>
      </c>
      <c r="J34" s="395"/>
      <c r="K34" s="395"/>
      <c r="L34" s="395"/>
      <c r="M34" s="395"/>
      <c r="N34" s="393">
        <f t="shared" si="5"/>
        <v>150000</v>
      </c>
      <c r="O34" s="394"/>
      <c r="P34" s="393">
        <f t="shared" si="6"/>
        <v>150000</v>
      </c>
      <c r="Q34" s="393">
        <f t="shared" si="1"/>
        <v>0.67390108973399887</v>
      </c>
      <c r="R34" s="215" t="b">
        <f t="shared" si="7"/>
        <v>1</v>
      </c>
      <c r="S34" s="205"/>
      <c r="T34" s="136" t="str">
        <f>'Quadro Geral'!B54</f>
        <v>P</v>
      </c>
      <c r="U34" s="136" t="str">
        <f>'Quadro Geral'!E54</f>
        <v>Tornar a fiscalização um vetor de melhoria do exercício da Arquitetura e Urbanismo</v>
      </c>
    </row>
    <row r="35" spans="1:21" ht="31.2" x14ac:dyDescent="0.5">
      <c r="A35" s="212" t="str">
        <f>'Quadro Geral'!A42</f>
        <v>Secretaria geral da mesa</v>
      </c>
      <c r="B35" s="213" t="str">
        <f>'Quadro Geral'!C42</f>
        <v>Projeto Especial para Análise, diagnóstico e implantação de melhorias em infraestrutura de TI</v>
      </c>
      <c r="C35" s="214">
        <f>'Quadro Geral'!I42</f>
        <v>120000</v>
      </c>
      <c r="D35" s="199"/>
      <c r="E35" s="395"/>
      <c r="F35" s="395"/>
      <c r="G35" s="395"/>
      <c r="H35" s="395"/>
      <c r="I35" s="395">
        <v>120000</v>
      </c>
      <c r="J35" s="395"/>
      <c r="K35" s="395"/>
      <c r="L35" s="395"/>
      <c r="M35" s="395"/>
      <c r="N35" s="393">
        <f t="shared" si="5"/>
        <v>120000</v>
      </c>
      <c r="O35" s="394"/>
      <c r="P35" s="393">
        <f t="shared" si="6"/>
        <v>120000</v>
      </c>
      <c r="Q35" s="393">
        <f t="shared" si="1"/>
        <v>0.53912087178719903</v>
      </c>
      <c r="R35" s="215" t="b">
        <f t="shared" si="7"/>
        <v>1</v>
      </c>
      <c r="S35" s="205"/>
      <c r="T35" s="136" t="str">
        <f>'Quadro Geral'!B55</f>
        <v>P</v>
      </c>
      <c r="U35" s="136" t="str">
        <f>'Quadro Geral'!E55</f>
        <v>Tornar a fiscalização um vetor de melhoria do exercício da Arquitetura e Urbanismo</v>
      </c>
    </row>
    <row r="36" spans="1:21" ht="46.8" x14ac:dyDescent="0.5">
      <c r="A36" s="212" t="str">
        <f>'Quadro Geral'!A43</f>
        <v>Secretaria geral da mesa</v>
      </c>
      <c r="B36" s="213" t="str">
        <f>'Quadro Geral'!C43</f>
        <v>Projeto especial para atendimento aos procedimentos relacionados ao plano de gestão documental do CAU/RS</v>
      </c>
      <c r="C36" s="214">
        <f>'Quadro Geral'!I43</f>
        <v>54000</v>
      </c>
      <c r="D36" s="199"/>
      <c r="E36" s="395"/>
      <c r="F36" s="395"/>
      <c r="G36" s="395"/>
      <c r="H36" s="395"/>
      <c r="I36" s="395">
        <v>54000</v>
      </c>
      <c r="J36" s="395"/>
      <c r="K36" s="395"/>
      <c r="L36" s="395"/>
      <c r="M36" s="395"/>
      <c r="N36" s="393">
        <f t="shared" si="5"/>
        <v>54000</v>
      </c>
      <c r="O36" s="394"/>
      <c r="P36" s="393">
        <f t="shared" si="6"/>
        <v>54000</v>
      </c>
      <c r="Q36" s="393">
        <f t="shared" si="1"/>
        <v>0.24260439230423961</v>
      </c>
      <c r="R36" s="215" t="b">
        <f t="shared" si="7"/>
        <v>1</v>
      </c>
      <c r="S36" s="205"/>
      <c r="T36" s="136" t="str">
        <f>'Quadro Geral'!B57</f>
        <v>A</v>
      </c>
      <c r="U36" s="136" t="str">
        <f>'Quadro Geral'!E57</f>
        <v>Assegurar a eficácia no atendimento e no relacionamento com os Arquitetos e Urbanistas e a Sociedade</v>
      </c>
    </row>
    <row r="37" spans="1:21" ht="31.2" x14ac:dyDescent="0.5">
      <c r="A37" s="212" t="str">
        <f>'Quadro Geral'!A44</f>
        <v>Secretaria geral da mesa</v>
      </c>
      <c r="B37" s="213" t="str">
        <f>'Quadro Geral'!C44</f>
        <v>Implantação e manutenção das atividades do Museu ou Centro de Memória do CAU/RS</v>
      </c>
      <c r="C37" s="214">
        <f>'Quadro Geral'!I44</f>
        <v>62812</v>
      </c>
      <c r="D37" s="199"/>
      <c r="E37" s="395"/>
      <c r="F37" s="395"/>
      <c r="G37" s="395"/>
      <c r="H37" s="395"/>
      <c r="I37" s="395">
        <v>23574</v>
      </c>
      <c r="J37" s="395"/>
      <c r="K37" s="395"/>
      <c r="L37" s="395"/>
      <c r="M37" s="395"/>
      <c r="N37" s="393">
        <f t="shared" si="5"/>
        <v>23574</v>
      </c>
      <c r="O37" s="394">
        <v>39238</v>
      </c>
      <c r="P37" s="393">
        <f t="shared" si="6"/>
        <v>62812</v>
      </c>
      <c r="Q37" s="393">
        <f t="shared" si="1"/>
        <v>0.28219383498914624</v>
      </c>
      <c r="R37" s="215" t="b">
        <f t="shared" si="7"/>
        <v>1</v>
      </c>
      <c r="S37" s="205"/>
      <c r="T37" s="136" t="str">
        <f>'Quadro Geral'!B58</f>
        <v>A</v>
      </c>
      <c r="U37" s="136" t="str">
        <f>'Quadro Geral'!E58</f>
        <v>Assegurar a sustentabilidade financeira</v>
      </c>
    </row>
    <row r="38" spans="1:21" ht="31.2" x14ac:dyDescent="0.5">
      <c r="A38" s="212" t="str">
        <f>'Quadro Geral'!A45</f>
        <v>Secretaria geral da mesa</v>
      </c>
      <c r="B38" s="213" t="str">
        <f>'Quadro Geral'!C45</f>
        <v xml:space="preserve">Participação em Eventos </v>
      </c>
      <c r="C38" s="214">
        <f>'Quadro Geral'!I45</f>
        <v>117172.72</v>
      </c>
      <c r="D38" s="199"/>
      <c r="E38" s="395"/>
      <c r="F38" s="395"/>
      <c r="G38" s="395"/>
      <c r="H38" s="395"/>
      <c r="I38" s="395">
        <v>117172.72</v>
      </c>
      <c r="J38" s="395"/>
      <c r="K38" s="395"/>
      <c r="L38" s="395"/>
      <c r="M38" s="395"/>
      <c r="N38" s="393">
        <f t="shared" si="5"/>
        <v>117172.72</v>
      </c>
      <c r="O38" s="394"/>
      <c r="P38" s="393">
        <f t="shared" si="6"/>
        <v>117172.72</v>
      </c>
      <c r="Q38" s="393">
        <f t="shared" si="1"/>
        <v>0.52641882463397816</v>
      </c>
      <c r="R38" s="215" t="b">
        <f t="shared" si="7"/>
        <v>1</v>
      </c>
      <c r="S38" s="205"/>
      <c r="T38" s="136" t="str">
        <f>'Quadro Geral'!B59</f>
        <v>A</v>
      </c>
      <c r="U38" s="136" t="str">
        <f>'Quadro Geral'!E59</f>
        <v>Aprimorar e inovar os processos e as ações</v>
      </c>
    </row>
    <row r="39" spans="1:21" ht="31.2" x14ac:dyDescent="0.5">
      <c r="A39" s="212" t="str">
        <f>'Quadro Geral'!A46</f>
        <v>Secretaria geral da mesa</v>
      </c>
      <c r="B39" s="213" t="str">
        <f>'Quadro Geral'!C46</f>
        <v>Projeto Especial para realização do Congresso Gaúcho de Arquitetura</v>
      </c>
      <c r="C39" s="214">
        <f>'Quadro Geral'!I46</f>
        <v>400000</v>
      </c>
      <c r="D39" s="199"/>
      <c r="E39" s="395"/>
      <c r="F39" s="395"/>
      <c r="G39" s="395"/>
      <c r="H39" s="395"/>
      <c r="I39" s="395">
        <v>400000</v>
      </c>
      <c r="J39" s="395"/>
      <c r="K39" s="395"/>
      <c r="L39" s="395"/>
      <c r="M39" s="395"/>
      <c r="N39" s="393">
        <f t="shared" si="5"/>
        <v>400000</v>
      </c>
      <c r="O39" s="394"/>
      <c r="P39" s="393">
        <f t="shared" si="6"/>
        <v>400000</v>
      </c>
      <c r="Q39" s="393">
        <f t="shared" si="1"/>
        <v>1.7970695726239969</v>
      </c>
      <c r="R39" s="215" t="b">
        <f t="shared" si="7"/>
        <v>1</v>
      </c>
      <c r="S39" s="205"/>
      <c r="U39" s="136"/>
    </row>
    <row r="40" spans="1:21" ht="31.2" x14ac:dyDescent="0.5">
      <c r="A40" s="212" t="str">
        <f>'Quadro Geral'!A47</f>
        <v>Secretaria geral da mesa</v>
      </c>
      <c r="B40" s="213" t="str">
        <f>'Quadro Geral'!C47</f>
        <v>Projeto especial Kit de boas vindas aos egressos</v>
      </c>
      <c r="C40" s="214">
        <f>'Quadro Geral'!I47</f>
        <v>120000</v>
      </c>
      <c r="D40" s="199"/>
      <c r="E40" s="395"/>
      <c r="F40" s="395"/>
      <c r="G40" s="395"/>
      <c r="H40" s="395"/>
      <c r="I40" s="395">
        <v>120000</v>
      </c>
      <c r="J40" s="395"/>
      <c r="K40" s="395"/>
      <c r="L40" s="395"/>
      <c r="M40" s="395"/>
      <c r="N40" s="393">
        <f t="shared" si="5"/>
        <v>120000</v>
      </c>
      <c r="O40" s="394"/>
      <c r="P40" s="393">
        <f t="shared" si="6"/>
        <v>120000</v>
      </c>
      <c r="Q40" s="393">
        <f t="shared" si="1"/>
        <v>0.53912087178719903</v>
      </c>
      <c r="R40" s="215" t="b">
        <f t="shared" si="7"/>
        <v>1</v>
      </c>
      <c r="S40" s="205"/>
      <c r="U40" s="136"/>
    </row>
    <row r="41" spans="1:21" x14ac:dyDescent="0.5">
      <c r="A41" s="212" t="str">
        <f>'Quadro Geral'!A48</f>
        <v>Gerência geral</v>
      </c>
      <c r="B41" s="213" t="str">
        <f>'Quadro Geral'!C48</f>
        <v>Manutenção das atividades da gerência geral</v>
      </c>
      <c r="C41" s="214">
        <f>'Quadro Geral'!I48</f>
        <v>690209.48</v>
      </c>
      <c r="D41" s="199"/>
      <c r="E41" s="395">
        <f>'Gerência Geral'!E9+'Gerência Geral'!E10</f>
        <v>690209.48</v>
      </c>
      <c r="F41" s="395"/>
      <c r="G41" s="395"/>
      <c r="H41" s="395"/>
      <c r="I41" s="395"/>
      <c r="J41" s="395">
        <v>0</v>
      </c>
      <c r="K41" s="395"/>
      <c r="L41" s="395"/>
      <c r="M41" s="395"/>
      <c r="N41" s="393">
        <f t="shared" si="5"/>
        <v>690209.48</v>
      </c>
      <c r="O41" s="394"/>
      <c r="P41" s="393">
        <f t="shared" si="6"/>
        <v>690209.48</v>
      </c>
      <c r="Q41" s="393">
        <f t="shared" si="1"/>
        <v>3.1008861381115782</v>
      </c>
      <c r="R41" s="215" t="b">
        <f t="shared" si="7"/>
        <v>1</v>
      </c>
      <c r="S41" s="205"/>
      <c r="T41" s="136" t="str">
        <f>'Quadro Geral'!B60</f>
        <v>A</v>
      </c>
      <c r="U41" s="136" t="str">
        <f>'Quadro Geral'!E60</f>
        <v>Aprimorar e inovar os processos e as ações</v>
      </c>
    </row>
    <row r="42" spans="1:21" ht="31.2" x14ac:dyDescent="0.5">
      <c r="A42" s="212" t="str">
        <f>'Quadro Geral'!A51</f>
        <v>Gerência de Fiscalização</v>
      </c>
      <c r="B42" s="213" t="str">
        <f>'Quadro Geral'!C51</f>
        <v>Fiscalização vinculada à sede</v>
      </c>
      <c r="C42" s="381">
        <f>'Quadro Geral'!I51</f>
        <v>3279452.7800000003</v>
      </c>
      <c r="D42" s="382"/>
      <c r="E42" s="395">
        <f>'Gerência de Fiscalização'!E20+'Gerência de Fiscalização'!E21</f>
        <v>2401017.4800000004</v>
      </c>
      <c r="F42" s="395"/>
      <c r="G42" s="395"/>
      <c r="H42" s="395"/>
      <c r="I42" s="395"/>
      <c r="J42" s="395">
        <f>205175.3-45240</f>
        <v>159935.29999999999</v>
      </c>
      <c r="K42" s="395"/>
      <c r="L42" s="395"/>
      <c r="M42" s="395"/>
      <c r="N42" s="393">
        <f t="shared" si="5"/>
        <v>2560952.7800000003</v>
      </c>
      <c r="O42" s="394">
        <v>718500</v>
      </c>
      <c r="P42" s="393">
        <f t="shared" si="6"/>
        <v>3279452.7800000003</v>
      </c>
      <c r="Q42" s="393">
        <f t="shared" si="1"/>
        <v>14.733512014487948</v>
      </c>
      <c r="R42" s="215" t="b">
        <f t="shared" si="7"/>
        <v>1</v>
      </c>
      <c r="S42" s="205"/>
      <c r="T42" s="136" t="e">
        <f>'Quadro Geral'!#REF!</f>
        <v>#REF!</v>
      </c>
      <c r="U42" s="136" t="e">
        <f>'Quadro Geral'!#REF!</f>
        <v>#REF!</v>
      </c>
    </row>
    <row r="43" spans="1:21" ht="31.2" x14ac:dyDescent="0.5">
      <c r="A43" s="212" t="str">
        <f>'Quadro Geral'!A52</f>
        <v>Gerência de Fiscalização</v>
      </c>
      <c r="B43" s="213" t="str">
        <f>'Quadro Geral'!C52</f>
        <v>Escritório regional de Santa Maria</v>
      </c>
      <c r="C43" s="383">
        <f>'Quadro Geral'!I52</f>
        <v>454476.31999999995</v>
      </c>
      <c r="D43" s="199"/>
      <c r="E43" s="395">
        <f>'Gerência de Fiscalização'!E46+'Gerência de Fiscalização'!E47</f>
        <v>320175.59999999998</v>
      </c>
      <c r="F43" s="395"/>
      <c r="G43" s="395"/>
      <c r="H43" s="395"/>
      <c r="I43" s="395"/>
      <c r="J43" s="395">
        <f>130610.72-11310</f>
        <v>119300.72</v>
      </c>
      <c r="K43" s="395"/>
      <c r="L43" s="395"/>
      <c r="M43" s="395"/>
      <c r="N43" s="393">
        <f t="shared" si="5"/>
        <v>439476.31999999995</v>
      </c>
      <c r="O43" s="394">
        <v>15000</v>
      </c>
      <c r="P43" s="393">
        <f t="shared" si="6"/>
        <v>454476.31999999995</v>
      </c>
      <c r="Q43" s="393">
        <f t="shared" si="1"/>
        <v>2.0418139153753168</v>
      </c>
      <c r="R43" s="215" t="b">
        <f t="shared" si="7"/>
        <v>1</v>
      </c>
      <c r="S43" s="205"/>
      <c r="T43" s="136" t="e">
        <f>'Quadro Geral'!#REF!</f>
        <v>#REF!</v>
      </c>
      <c r="U43" s="136" t="e">
        <f>'Quadro Geral'!#REF!</f>
        <v>#REF!</v>
      </c>
    </row>
    <row r="44" spans="1:21" ht="31.2" x14ac:dyDescent="0.5">
      <c r="A44" s="212" t="str">
        <f>'Quadro Geral'!A53</f>
        <v>Gerência de Fiscalização</v>
      </c>
      <c r="B44" s="213" t="str">
        <f>'Quadro Geral'!C53</f>
        <v>Escritório regional de Pelotas</v>
      </c>
      <c r="C44" s="383">
        <f>'Quadro Geral'!I53</f>
        <v>477174.52</v>
      </c>
      <c r="D44" s="384"/>
      <c r="E44" s="395">
        <f>'Gerência de Fiscalização'!E75+'Gerência de Fiscalização'!E76</f>
        <v>320175.59999999998</v>
      </c>
      <c r="F44" s="395"/>
      <c r="G44" s="395"/>
      <c r="H44" s="395"/>
      <c r="I44" s="395"/>
      <c r="J44" s="395">
        <f>138308.92-11310</f>
        <v>126998.92000000001</v>
      </c>
      <c r="K44" s="395"/>
      <c r="L44" s="395"/>
      <c r="M44" s="395"/>
      <c r="N44" s="393">
        <f t="shared" si="5"/>
        <v>447174.52</v>
      </c>
      <c r="O44" s="394">
        <v>30000</v>
      </c>
      <c r="P44" s="393">
        <f t="shared" si="6"/>
        <v>477174.52</v>
      </c>
      <c r="Q44" s="393">
        <f t="shared" si="1"/>
        <v>2.1437895268086522</v>
      </c>
      <c r="R44" s="215" t="b">
        <f t="shared" si="7"/>
        <v>1</v>
      </c>
      <c r="S44" s="205"/>
      <c r="T44" s="136" t="e">
        <f>'Quadro Geral'!#REF!</f>
        <v>#REF!</v>
      </c>
      <c r="U44" s="136" t="e">
        <f>'Quadro Geral'!#REF!</f>
        <v>#REF!</v>
      </c>
    </row>
    <row r="45" spans="1:21" ht="31.2" x14ac:dyDescent="0.5">
      <c r="A45" s="212" t="str">
        <f>'Quadro Geral'!A54</f>
        <v>Gerência de Fiscalização</v>
      </c>
      <c r="B45" s="213" t="str">
        <f>'Quadro Geral'!C54</f>
        <v>Escritório regional de Passo Fundo</v>
      </c>
      <c r="C45" s="366">
        <f>'Quadro Geral'!I54</f>
        <v>461550.07999999996</v>
      </c>
      <c r="D45" s="199"/>
      <c r="E45" s="395">
        <f>'Gerência de Fiscalização'!E104+'Gerência de Fiscalização'!E105</f>
        <v>320231.16000000003</v>
      </c>
      <c r="F45" s="395"/>
      <c r="G45" s="395"/>
      <c r="H45" s="395"/>
      <c r="I45" s="395"/>
      <c r="J45" s="395">
        <f>122628.92-11310</f>
        <v>111318.92</v>
      </c>
      <c r="K45" s="395"/>
      <c r="L45" s="395"/>
      <c r="M45" s="395"/>
      <c r="N45" s="393">
        <f t="shared" si="5"/>
        <v>431550.08</v>
      </c>
      <c r="O45" s="394">
        <v>30000</v>
      </c>
      <c r="P45" s="393">
        <f t="shared" si="6"/>
        <v>461550.08000000002</v>
      </c>
      <c r="Q45" s="393">
        <f t="shared" si="1"/>
        <v>2.0735940125254291</v>
      </c>
      <c r="R45" s="215" t="b">
        <f t="shared" si="7"/>
        <v>1</v>
      </c>
      <c r="S45" s="205"/>
      <c r="T45" s="136" t="e">
        <f>'Quadro Geral'!#REF!</f>
        <v>#REF!</v>
      </c>
      <c r="U45" s="136" t="e">
        <f>'Quadro Geral'!#REF!</f>
        <v>#REF!</v>
      </c>
    </row>
    <row r="46" spans="1:21" ht="31.2" x14ac:dyDescent="0.5">
      <c r="A46" s="212" t="str">
        <f>'Quadro Geral'!A55</f>
        <v>Gerência de Fiscalização</v>
      </c>
      <c r="B46" s="213" t="str">
        <f>'Quadro Geral'!C55</f>
        <v>Escritório regional de Caxias do Sul</v>
      </c>
      <c r="C46" s="385">
        <f>'Quadro Geral'!I55</f>
        <v>377883.27999999997</v>
      </c>
      <c r="D46" s="386"/>
      <c r="E46" s="395">
        <f>'Gerência de Fiscalização'!E131+'Gerência de Fiscalização'!E132</f>
        <v>208872.36000000002</v>
      </c>
      <c r="F46" s="395"/>
      <c r="G46" s="395"/>
      <c r="H46" s="395"/>
      <c r="I46" s="395"/>
      <c r="J46" s="395">
        <f>150320.92-11310</f>
        <v>139010.92000000001</v>
      </c>
      <c r="K46" s="395"/>
      <c r="L46" s="395"/>
      <c r="M46" s="395"/>
      <c r="N46" s="393">
        <f t="shared" si="5"/>
        <v>347883.28</v>
      </c>
      <c r="O46" s="394">
        <v>30000</v>
      </c>
      <c r="P46" s="393">
        <f t="shared" si="6"/>
        <v>377883.28</v>
      </c>
      <c r="Q46" s="393">
        <f t="shared" si="1"/>
        <v>1.6977063612283856</v>
      </c>
      <c r="R46" s="215" t="b">
        <f t="shared" si="7"/>
        <v>1</v>
      </c>
      <c r="S46" s="205"/>
      <c r="T46" s="136" t="e">
        <f>'Quadro Geral'!#REF!</f>
        <v>#REF!</v>
      </c>
      <c r="U46" s="136" t="e">
        <f>'Quadro Geral'!#REF!</f>
        <v>#REF!</v>
      </c>
    </row>
    <row r="47" spans="1:21" ht="31.2" x14ac:dyDescent="0.5">
      <c r="A47" s="212" t="str">
        <f>'Quadro Geral'!A56</f>
        <v>Gerência de Fiscalização</v>
      </c>
      <c r="B47" s="213" t="str">
        <f>'Quadro Geral'!C56</f>
        <v>Espaço do arquiteto</v>
      </c>
      <c r="C47" s="214">
        <f>'Quadro Geral'!I56</f>
        <v>950000</v>
      </c>
      <c r="D47" s="199"/>
      <c r="E47" s="395">
        <v>0</v>
      </c>
      <c r="F47" s="395"/>
      <c r="G47" s="395"/>
      <c r="H47" s="395"/>
      <c r="I47" s="395"/>
      <c r="J47" s="395">
        <v>50000</v>
      </c>
      <c r="K47" s="395"/>
      <c r="L47" s="395"/>
      <c r="M47" s="395"/>
      <c r="N47" s="393">
        <f t="shared" si="5"/>
        <v>50000</v>
      </c>
      <c r="O47" s="394">
        <v>900000</v>
      </c>
      <c r="P47" s="393">
        <f t="shared" si="6"/>
        <v>950000</v>
      </c>
      <c r="Q47" s="393">
        <f t="shared" si="1"/>
        <v>4.268040234981993</v>
      </c>
      <c r="R47" s="215" t="b">
        <f t="shared" si="7"/>
        <v>1</v>
      </c>
      <c r="S47" s="205"/>
      <c r="T47" s="136" t="e">
        <f>'Quadro Geral'!#REF!</f>
        <v>#REF!</v>
      </c>
      <c r="U47" s="136" t="e">
        <f>'Quadro Geral'!#REF!</f>
        <v>#REF!</v>
      </c>
    </row>
    <row r="48" spans="1:21" ht="31.2" x14ac:dyDescent="0.5">
      <c r="A48" s="212" t="str">
        <f>'Quadro Geral'!A57</f>
        <v>Gerência de atendimento</v>
      </c>
      <c r="B48" s="213" t="str">
        <f>'Quadro Geral'!C57</f>
        <v>Manutenção das atividades da gerência de atendimento</v>
      </c>
      <c r="C48" s="381">
        <f>'Quadro Geral'!I57</f>
        <v>1562956.05</v>
      </c>
      <c r="D48" s="382"/>
      <c r="E48" s="394">
        <f>'Gerência de Atendimento'!E9+'Gerência de Atendimento'!E10</f>
        <v>1359705.6</v>
      </c>
      <c r="F48" s="394"/>
      <c r="G48" s="394"/>
      <c r="H48" s="394"/>
      <c r="I48" s="394"/>
      <c r="J48" s="394">
        <v>153250.45000000001</v>
      </c>
      <c r="K48" s="394"/>
      <c r="L48" s="394"/>
      <c r="M48" s="394"/>
      <c r="N48" s="393">
        <f t="shared" si="5"/>
        <v>1512956.05</v>
      </c>
      <c r="O48" s="394">
        <v>50000</v>
      </c>
      <c r="P48" s="393">
        <f t="shared" si="6"/>
        <v>1562956.05</v>
      </c>
      <c r="Q48" s="393">
        <f t="shared" si="1"/>
        <v>7.0218519020089758</v>
      </c>
      <c r="R48" s="215" t="b">
        <f t="shared" si="7"/>
        <v>1</v>
      </c>
      <c r="S48" s="205"/>
      <c r="T48" s="136" t="e">
        <f>'Quadro Geral'!#REF!</f>
        <v>#REF!</v>
      </c>
      <c r="U48" s="136" t="e">
        <f>'Quadro Geral'!#REF!</f>
        <v>#REF!</v>
      </c>
    </row>
    <row r="49" spans="1:21" ht="31.2" x14ac:dyDescent="0.5">
      <c r="A49" s="212" t="str">
        <f>'Quadro Geral'!A59</f>
        <v>Gerência jurídica</v>
      </c>
      <c r="B49" s="213" t="str">
        <f>'Quadro Geral'!C59</f>
        <v>Manutenção das atividades da gerência jurídica</v>
      </c>
      <c r="C49" s="381">
        <f>'Quadro Geral'!I59</f>
        <v>1102671.96</v>
      </c>
      <c r="D49" s="382"/>
      <c r="E49" s="394">
        <f>'Gerência Jurídica'!E12+'Gerência Jurídica'!E13</f>
        <v>968803.08000000007</v>
      </c>
      <c r="F49" s="394"/>
      <c r="G49" s="394"/>
      <c r="H49" s="394"/>
      <c r="I49" s="394"/>
      <c r="J49" s="394">
        <f>188868.88-55000</f>
        <v>133868.88</v>
      </c>
      <c r="K49" s="394"/>
      <c r="L49" s="394"/>
      <c r="M49" s="394"/>
      <c r="N49" s="393">
        <f t="shared" si="5"/>
        <v>1102671.96</v>
      </c>
      <c r="O49" s="394"/>
      <c r="P49" s="393">
        <f t="shared" ref="P49:P50" si="8">N49+O49</f>
        <v>1102671.96</v>
      </c>
      <c r="Q49" s="393">
        <f t="shared" si="1"/>
        <v>4.9539455697541621</v>
      </c>
      <c r="R49" s="215" t="b">
        <f t="shared" si="7"/>
        <v>1</v>
      </c>
      <c r="S49" s="205"/>
      <c r="U49" s="136"/>
    </row>
    <row r="50" spans="1:21" ht="31.2" x14ac:dyDescent="0.5">
      <c r="A50" s="212" t="str">
        <f>'Quadro Geral'!A61</f>
        <v>Gerência de comunicação</v>
      </c>
      <c r="B50" s="213" t="str">
        <f>'Quadro Geral'!C61</f>
        <v>Manutenção das atividades da gerência de comunicação</v>
      </c>
      <c r="C50" s="390">
        <f>'Quadro Geral'!I61</f>
        <v>1259857.6000000001</v>
      </c>
      <c r="D50" s="367"/>
      <c r="E50" s="394">
        <f>'Gerência de Comunicação'!E14+'Gerência de Comunicação'!E15</f>
        <v>578469.6</v>
      </c>
      <c r="F50" s="394"/>
      <c r="G50" s="394"/>
      <c r="H50" s="394"/>
      <c r="I50" s="394"/>
      <c r="J50" s="394">
        <v>663388</v>
      </c>
      <c r="K50" s="394"/>
      <c r="L50" s="394"/>
      <c r="M50" s="394"/>
      <c r="N50" s="393">
        <f t="shared" si="5"/>
        <v>1241857.6000000001</v>
      </c>
      <c r="O50" s="394">
        <v>18000</v>
      </c>
      <c r="P50" s="393">
        <f t="shared" si="8"/>
        <v>1259857.6000000001</v>
      </c>
      <c r="Q50" s="393">
        <f t="shared" si="1"/>
        <v>5.6601293969977364</v>
      </c>
      <c r="R50" s="215" t="b">
        <f t="shared" si="7"/>
        <v>1</v>
      </c>
      <c r="S50" s="205"/>
      <c r="U50" s="136"/>
    </row>
    <row r="51" spans="1:21" ht="31.2" x14ac:dyDescent="0.5">
      <c r="A51" s="212" t="str">
        <f>'Quadro Geral'!A62</f>
        <v>Gerência de comunicação</v>
      </c>
      <c r="B51" s="213" t="str">
        <f>'Quadro Geral'!C62</f>
        <v>Projeto Especial para Promoção da Arquitetura e Urbanismo</v>
      </c>
      <c r="C51" s="366">
        <f>'Quadro Geral'!I62</f>
        <v>230000</v>
      </c>
      <c r="D51" s="367"/>
      <c r="E51" s="394"/>
      <c r="F51" s="394"/>
      <c r="G51" s="394"/>
      <c r="H51" s="394"/>
      <c r="I51" s="394"/>
      <c r="J51" s="394">
        <v>230000</v>
      </c>
      <c r="K51" s="394"/>
      <c r="L51" s="394"/>
      <c r="M51" s="394"/>
      <c r="N51" s="393">
        <f t="shared" ref="N51:N52" si="9">SUM(E51:M51)</f>
        <v>230000</v>
      </c>
      <c r="O51" s="394"/>
      <c r="P51" s="393">
        <f t="shared" ref="P51:P52" si="10">N51+O51</f>
        <v>230000</v>
      </c>
      <c r="Q51" s="393">
        <f t="shared" ref="Q51:Q52" si="11">IFERROR(P51/$P$53*100,0)</f>
        <v>1.0333150042587982</v>
      </c>
      <c r="R51" s="215" t="b">
        <f t="shared" si="7"/>
        <v>1</v>
      </c>
      <c r="S51" s="205"/>
      <c r="U51" s="136"/>
    </row>
    <row r="52" spans="1:21" ht="46.8" x14ac:dyDescent="0.5">
      <c r="A52" s="212" t="str">
        <f>'Quadro Geral'!A63</f>
        <v>Gerência administrativa e financeira</v>
      </c>
      <c r="B52" s="213" t="str">
        <f>'Quadro Geral'!C63</f>
        <v>Manutenção das atividades da gerência administrativa e financeira</v>
      </c>
      <c r="C52" s="214">
        <f>'Quadro Geral'!I63</f>
        <v>3071980.68</v>
      </c>
      <c r="D52" s="199"/>
      <c r="E52" s="394">
        <f>'Gerência Adm. e Financ.'!E41+'Gerência Adm. e Financ.'!E42</f>
        <v>1820452.6800000002</v>
      </c>
      <c r="F52" s="394"/>
      <c r="G52" s="394"/>
      <c r="H52" s="394"/>
      <c r="I52" s="394"/>
      <c r="J52" s="394">
        <v>1114528</v>
      </c>
      <c r="K52" s="394"/>
      <c r="L52" s="394"/>
      <c r="M52" s="394"/>
      <c r="N52" s="393">
        <f t="shared" si="9"/>
        <v>2934980.68</v>
      </c>
      <c r="O52" s="394">
        <v>137000</v>
      </c>
      <c r="P52" s="393">
        <f t="shared" si="10"/>
        <v>3071980.68</v>
      </c>
      <c r="Q52" s="393">
        <f t="shared" si="11"/>
        <v>13.801407519291939</v>
      </c>
      <c r="R52" s="215" t="b">
        <f t="shared" si="7"/>
        <v>1</v>
      </c>
      <c r="S52" s="205"/>
      <c r="T52" s="136" t="e">
        <f>'Quadro Geral'!#REF!</f>
        <v>#REF!</v>
      </c>
      <c r="U52" s="136" t="e">
        <f>'Quadro Geral'!#REF!</f>
        <v>#REF!</v>
      </c>
    </row>
    <row r="53" spans="1:21" s="208" customFormat="1" x14ac:dyDescent="0.3">
      <c r="A53" s="523" t="s">
        <v>44</v>
      </c>
      <c r="B53" s="523"/>
      <c r="C53" s="397">
        <f>SUM(C7:C52)</f>
        <v>22258459.332542073</v>
      </c>
      <c r="D53" s="391"/>
      <c r="E53" s="396">
        <f t="shared" ref="E53:Q53" si="12">SUM(E7:E52)</f>
        <v>11545511.84</v>
      </c>
      <c r="F53" s="396">
        <f t="shared" si="12"/>
        <v>0</v>
      </c>
      <c r="G53" s="396">
        <f t="shared" si="12"/>
        <v>0</v>
      </c>
      <c r="H53" s="396">
        <f t="shared" si="12"/>
        <v>445333.2</v>
      </c>
      <c r="I53" s="396">
        <f t="shared" si="12"/>
        <v>984746.72</v>
      </c>
      <c r="J53" s="396">
        <f t="shared" si="12"/>
        <v>4980804.8425420709</v>
      </c>
      <c r="K53" s="396">
        <f t="shared" si="12"/>
        <v>1859324.7300000002</v>
      </c>
      <c r="L53" s="396">
        <f t="shared" si="12"/>
        <v>0</v>
      </c>
      <c r="M53" s="396">
        <f t="shared" si="12"/>
        <v>0</v>
      </c>
      <c r="N53" s="396">
        <f t="shared" si="12"/>
        <v>19815721.332542069</v>
      </c>
      <c r="O53" s="396">
        <f t="shared" si="12"/>
        <v>2442738</v>
      </c>
      <c r="P53" s="396">
        <f t="shared" si="12"/>
        <v>22258459.332542073</v>
      </c>
      <c r="Q53" s="524">
        <f t="shared" si="12"/>
        <v>99.999999999999986</v>
      </c>
      <c r="R53" s="216" t="b">
        <f>C53=P53</f>
        <v>1</v>
      </c>
      <c r="S53" s="206"/>
      <c r="T53" s="207"/>
    </row>
    <row r="54" spans="1:21" s="208" customFormat="1" x14ac:dyDescent="0.3">
      <c r="A54" s="523" t="s">
        <v>40</v>
      </c>
      <c r="B54" s="523"/>
      <c r="C54" s="523"/>
      <c r="D54" s="199"/>
      <c r="E54" s="396">
        <f>IFERROR(E53/$P53*100,0)</f>
        <v>51.870220070085239</v>
      </c>
      <c r="F54" s="396">
        <f>IFERROR(F53/$P53*100,0)</f>
        <v>0</v>
      </c>
      <c r="G54" s="396">
        <f t="shared" ref="G54" si="13">IFERROR(G53/$P53*100,0)</f>
        <v>0</v>
      </c>
      <c r="H54" s="396">
        <f t="shared" ref="H54:P54" si="14">IFERROR(H53/$P53*100,0)</f>
        <v>2.0007368584981924</v>
      </c>
      <c r="I54" s="396">
        <f t="shared" si="14"/>
        <v>4.424145918133207</v>
      </c>
      <c r="J54" s="396">
        <f t="shared" si="14"/>
        <v>22.377132074276535</v>
      </c>
      <c r="K54" s="396">
        <f t="shared" si="14"/>
        <v>8.3533397447758233</v>
      </c>
      <c r="L54" s="396">
        <f t="shared" si="14"/>
        <v>0</v>
      </c>
      <c r="M54" s="396">
        <f t="shared" si="14"/>
        <v>0</v>
      </c>
      <c r="N54" s="396">
        <f t="shared" si="14"/>
        <v>89.025574665768985</v>
      </c>
      <c r="O54" s="396">
        <f t="shared" si="14"/>
        <v>10.974425334230993</v>
      </c>
      <c r="P54" s="396">
        <f t="shared" si="14"/>
        <v>100</v>
      </c>
      <c r="Q54" s="524"/>
      <c r="R54" s="207"/>
      <c r="S54" s="206"/>
      <c r="T54" s="207"/>
    </row>
    <row r="55" spans="1:21" s="211" customFormat="1" ht="25.2" x14ac:dyDescent="0.45">
      <c r="A55" s="209"/>
      <c r="B55" s="210"/>
      <c r="C55" s="136" t="b">
        <f>C53='Anexo 1. Fontes e Aplicações'!D25</f>
        <v>0</v>
      </c>
      <c r="D55" s="199"/>
      <c r="E55" s="136" t="b">
        <f>E53='Anexo 2. Limites Estratégicos'!M5</f>
        <v>1</v>
      </c>
      <c r="F55" s="209">
        <v>12526924.49</v>
      </c>
      <c r="G55" s="210" t="str">
        <f>'Quadro Geral'!A65</f>
        <v>LEGENDA: P = PROJETO/ A = ATIVIDADE/ PE = PROJETO ESPECÍFICO / FA = FUNDO DE APOIO</v>
      </c>
      <c r="H55" s="210"/>
      <c r="I55" s="210"/>
      <c r="J55" s="210"/>
      <c r="K55" s="210"/>
      <c r="L55" s="210"/>
      <c r="M55" s="210"/>
      <c r="N55" s="370">
        <f>'Anexo 1. Fontes e Aplicações'!D8-'Anexo 3. Elemento de Despesas'!N53+'Quadro Geral'!I24+'Quadro Geral'!I26+'Quadro Geral'!I27+'Quadro Geral'!I30+'Quadro Geral'!I33+'Quadro Geral'!I34+'Quadro Geral'!I35+'Quadro Geral'!I41+'Quadro Geral'!I42+'Quadro Geral'!I43+22240+50000+120000+400000+230000</f>
        <v>72239.996399998665</v>
      </c>
      <c r="O55" s="136" t="b">
        <f>('Anexo 1. Fontes e Aplicações'!D23-'Anexo 1. Fontes e Aplicações'!D29)='Anexo 3. Elemento de Despesas'!O53+50000+22240</f>
        <v>0</v>
      </c>
      <c r="P55" s="210"/>
      <c r="Q55" s="210"/>
      <c r="R55" s="209"/>
      <c r="S55" s="205"/>
      <c r="T55" s="209"/>
    </row>
    <row r="56" spans="1:21" s="211" customFormat="1" ht="25.2" x14ac:dyDescent="0.45">
      <c r="A56" s="518" t="s">
        <v>156</v>
      </c>
      <c r="B56" s="518"/>
      <c r="C56" s="518"/>
      <c r="D56" s="518"/>
      <c r="E56" s="518"/>
      <c r="F56" s="518"/>
      <c r="G56" s="518"/>
      <c r="H56" s="518"/>
      <c r="I56" s="518"/>
      <c r="J56" s="518"/>
      <c r="K56" s="518"/>
      <c r="L56" s="518"/>
      <c r="M56" s="518"/>
      <c r="N56" s="518"/>
      <c r="O56" s="518"/>
      <c r="P56" s="518"/>
      <c r="Q56" s="518"/>
      <c r="R56" s="209"/>
      <c r="S56" s="205"/>
      <c r="T56" s="209"/>
    </row>
    <row r="57" spans="1:21" s="211" customFormat="1" ht="321.75" customHeight="1" x14ac:dyDescent="0.45">
      <c r="A57" s="519" t="s">
        <v>340</v>
      </c>
      <c r="B57" s="519"/>
      <c r="C57" s="519"/>
      <c r="D57" s="519"/>
      <c r="E57" s="519"/>
      <c r="F57" s="519"/>
      <c r="G57" s="519"/>
      <c r="H57" s="519"/>
      <c r="I57" s="519"/>
      <c r="J57" s="519"/>
      <c r="K57" s="519"/>
      <c r="L57" s="519"/>
      <c r="M57" s="519"/>
      <c r="N57" s="519"/>
      <c r="O57" s="519"/>
      <c r="P57" s="519"/>
      <c r="Q57" s="519"/>
      <c r="R57" s="209"/>
      <c r="S57" s="209"/>
      <c r="T57" s="209"/>
    </row>
    <row r="58" spans="1:21" x14ac:dyDescent="0.5"/>
    <row r="59" spans="1:21" x14ac:dyDescent="0.5"/>
    <row r="60" spans="1:21" x14ac:dyDescent="0.5"/>
    <row r="61" spans="1:21" x14ac:dyDescent="0.5"/>
    <row r="62" spans="1:21" x14ac:dyDescent="0.5"/>
    <row r="63" spans="1:21" x14ac:dyDescent="0.5"/>
    <row r="64" spans="1:21" x14ac:dyDescent="0.5"/>
    <row r="65" x14ac:dyDescent="0.5"/>
    <row r="66" x14ac:dyDescent="0.5"/>
    <row r="67" x14ac:dyDescent="0.5"/>
    <row r="68" x14ac:dyDescent="0.5"/>
    <row r="69" x14ac:dyDescent="0.5"/>
    <row r="70" x14ac:dyDescent="0.5"/>
    <row r="71" x14ac:dyDescent="0.5"/>
    <row r="72" x14ac:dyDescent="0.5"/>
    <row r="73" x14ac:dyDescent="0.5"/>
    <row r="74" x14ac:dyDescent="0.5"/>
    <row r="75" x14ac:dyDescent="0.5"/>
    <row r="76" x14ac:dyDescent="0.5"/>
    <row r="77" x14ac:dyDescent="0.5"/>
    <row r="78" x14ac:dyDescent="0.5"/>
    <row r="79" x14ac:dyDescent="0.5"/>
    <row r="80" x14ac:dyDescent="0.5"/>
    <row r="81" x14ac:dyDescent="0.5"/>
    <row r="82" x14ac:dyDescent="0.5"/>
    <row r="83" x14ac:dyDescent="0.5"/>
    <row r="84" x14ac:dyDescent="0.5"/>
    <row r="85" x14ac:dyDescent="0.5"/>
    <row r="86" x14ac:dyDescent="0.5"/>
    <row r="87" x14ac:dyDescent="0.5"/>
    <row r="88" x14ac:dyDescent="0.5"/>
    <row r="89" x14ac:dyDescent="0.5"/>
    <row r="90" x14ac:dyDescent="0.5"/>
    <row r="91" x14ac:dyDescent="0.5"/>
    <row r="92" x14ac:dyDescent="0.5"/>
  </sheetData>
  <mergeCells count="21">
    <mergeCell ref="A2:Q2"/>
    <mergeCell ref="G5:G6"/>
    <mergeCell ref="M5:M6"/>
    <mergeCell ref="N5:N6"/>
    <mergeCell ref="O5:O6"/>
    <mergeCell ref="P5:P6"/>
    <mergeCell ref="A5:A6"/>
    <mergeCell ref="B5:B6"/>
    <mergeCell ref="C5:C6"/>
    <mergeCell ref="E5:F5"/>
    <mergeCell ref="A3:Q3"/>
    <mergeCell ref="Q5:Q6"/>
    <mergeCell ref="R5:R6"/>
    <mergeCell ref="A56:Q56"/>
    <mergeCell ref="A57:Q57"/>
    <mergeCell ref="H5:J5"/>
    <mergeCell ref="K5:K6"/>
    <mergeCell ref="L5:L6"/>
    <mergeCell ref="A53:B53"/>
    <mergeCell ref="Q53:Q54"/>
    <mergeCell ref="A54:C54"/>
  </mergeCells>
  <conditionalFormatting sqref="R7:R53">
    <cfRule type="cellIs" dxfId="11" priority="4" operator="equal">
      <formula>TRUE</formula>
    </cfRule>
  </conditionalFormatting>
  <conditionalFormatting sqref="C55">
    <cfRule type="cellIs" dxfId="10" priority="3" operator="equal">
      <formula>TRUE</formula>
    </cfRule>
  </conditionalFormatting>
  <conditionalFormatting sqref="E55">
    <cfRule type="cellIs" dxfId="9" priority="2" operator="equal">
      <formula>TRUE</formula>
    </cfRule>
  </conditionalFormatting>
  <conditionalFormatting sqref="O55">
    <cfRule type="cellIs" dxfId="8" priority="1" operator="equal">
      <formula>TRUE</formula>
    </cfRule>
  </conditionalFormatting>
  <pageMargins left="0.51181102362204722" right="0.51181102362204722" top="0.78740157480314965" bottom="0.78740157480314965" header="0.31496062992125984" footer="0.31496062992125984"/>
  <pageSetup scale="4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rgb="FFFFFF00"/>
  </sheetPr>
  <dimension ref="A1:XFC91"/>
  <sheetViews>
    <sheetView showGridLines="0" zoomScale="90" zoomScaleNormal="90" zoomScaleSheetLayoutView="80" workbookViewId="0">
      <selection activeCell="E36" sqref="E36"/>
    </sheetView>
  </sheetViews>
  <sheetFormatPr defaultColWidth="0" defaultRowHeight="25.8" zeroHeight="1" x14ac:dyDescent="0.5"/>
  <cols>
    <col min="1" max="1" width="18.44140625" style="265" customWidth="1"/>
    <col min="2" max="2" width="74" style="265" customWidth="1"/>
    <col min="3" max="3" width="22.109375" style="265" hidden="1" customWidth="1"/>
    <col min="4" max="5" width="18.44140625" style="265" customWidth="1"/>
    <col min="6" max="6" width="14.33203125" style="265" customWidth="1"/>
    <col min="7" max="8" width="18.109375" style="289" customWidth="1"/>
    <col min="9" max="9" width="47.44140625" style="265" customWidth="1"/>
    <col min="10" max="40" width="0" style="266" hidden="1" customWidth="1"/>
    <col min="41" max="16383" width="36.88671875" style="266" hidden="1"/>
    <col min="16384" max="16384" width="37.6640625" style="266" customWidth="1"/>
  </cols>
  <sheetData>
    <row r="1" spans="1:40" x14ac:dyDescent="0.5">
      <c r="A1" s="531" t="s">
        <v>559</v>
      </c>
      <c r="B1" s="532"/>
      <c r="C1" s="532"/>
      <c r="D1" s="532"/>
      <c r="E1" s="532"/>
      <c r="F1" s="532"/>
      <c r="G1" s="532"/>
      <c r="H1" s="533"/>
    </row>
    <row r="2" spans="1:40" ht="63.75" customHeight="1" x14ac:dyDescent="0.5">
      <c r="A2" s="534" t="s">
        <v>560</v>
      </c>
      <c r="B2" s="534"/>
      <c r="C2" s="534"/>
      <c r="D2" s="534"/>
      <c r="E2" s="534"/>
      <c r="F2" s="534"/>
      <c r="G2" s="534"/>
      <c r="H2" s="535"/>
    </row>
    <row r="3" spans="1:40" x14ac:dyDescent="0.5">
      <c r="A3" s="536" t="s">
        <v>561</v>
      </c>
      <c r="B3" s="537"/>
      <c r="C3" s="538" t="str">
        <f>'Quadro Geral'!C8</f>
        <v>Manutenção das atividades operacionais da comissão de planejamento e finanças</v>
      </c>
      <c r="D3" s="538"/>
      <c r="E3" s="538"/>
      <c r="F3" s="538"/>
      <c r="G3" s="538"/>
      <c r="H3" s="539"/>
      <c r="N3" s="267"/>
      <c r="O3" s="268"/>
      <c r="P3" s="268"/>
      <c r="Q3" s="268"/>
      <c r="R3" s="268"/>
      <c r="S3" s="268"/>
      <c r="T3" s="268"/>
      <c r="U3" s="268"/>
      <c r="V3" s="268"/>
      <c r="W3" s="268"/>
    </row>
    <row r="4" spans="1:40" ht="30.75" customHeight="1" x14ac:dyDescent="0.5">
      <c r="A4" s="537" t="s">
        <v>34</v>
      </c>
      <c r="B4" s="537"/>
      <c r="C4" s="538" t="str">
        <f>'Quadro Geral'!E8</f>
        <v>Assegurar a sustentabilidade financeira</v>
      </c>
      <c r="D4" s="538"/>
      <c r="E4" s="538"/>
      <c r="F4" s="538"/>
      <c r="G4" s="538"/>
      <c r="H4" s="539"/>
      <c r="V4" s="268"/>
      <c r="W4" s="268"/>
    </row>
    <row r="5" spans="1:40" s="272" customFormat="1" ht="49.5" customHeight="1" x14ac:dyDescent="0.5">
      <c r="A5" s="269"/>
      <c r="B5" s="269"/>
      <c r="C5" s="269"/>
      <c r="D5" s="270"/>
      <c r="E5" s="270"/>
      <c r="F5" s="270"/>
      <c r="G5" s="270" t="s">
        <v>155</v>
      </c>
      <c r="H5" s="270"/>
      <c r="I5" s="271"/>
      <c r="N5" s="273"/>
      <c r="O5" s="274"/>
      <c r="P5" s="274"/>
      <c r="Q5" s="274"/>
      <c r="R5" s="274"/>
      <c r="S5" s="274"/>
      <c r="T5" s="274"/>
      <c r="U5" s="274"/>
      <c r="V5" s="274"/>
      <c r="W5" s="274"/>
    </row>
    <row r="6" spans="1:40" x14ac:dyDescent="0.5">
      <c r="A6" s="540" t="s">
        <v>562</v>
      </c>
      <c r="B6" s="541"/>
      <c r="C6" s="541"/>
      <c r="D6" s="540" t="s">
        <v>563</v>
      </c>
      <c r="E6" s="541"/>
      <c r="F6" s="542"/>
      <c r="G6" s="543" t="s">
        <v>564</v>
      </c>
      <c r="H6" s="544"/>
      <c r="M6" s="274"/>
      <c r="N6" s="274"/>
      <c r="O6" s="274"/>
      <c r="P6" s="274"/>
      <c r="Q6" s="274"/>
      <c r="R6" s="274"/>
      <c r="S6" s="274"/>
      <c r="T6" s="274"/>
      <c r="U6" s="268"/>
      <c r="V6" s="268"/>
      <c r="W6" s="268"/>
    </row>
    <row r="7" spans="1:40" x14ac:dyDescent="0.5">
      <c r="A7" s="540" t="s">
        <v>565</v>
      </c>
      <c r="B7" s="541"/>
      <c r="C7" s="542"/>
      <c r="D7" s="540" t="s">
        <v>566</v>
      </c>
      <c r="E7" s="542"/>
      <c r="F7" s="545" t="s">
        <v>567</v>
      </c>
      <c r="G7" s="546" t="s">
        <v>568</v>
      </c>
      <c r="H7" s="546" t="s">
        <v>569</v>
      </c>
      <c r="M7" s="274"/>
      <c r="N7" s="274"/>
      <c r="O7" s="274"/>
      <c r="P7" s="274"/>
      <c r="Q7" s="274"/>
      <c r="R7" s="274"/>
      <c r="S7" s="274"/>
      <c r="T7" s="274"/>
      <c r="U7" s="268"/>
      <c r="V7" s="268"/>
      <c r="W7" s="268"/>
    </row>
    <row r="8" spans="1:40" ht="63" customHeight="1" x14ac:dyDescent="0.5">
      <c r="A8" s="275" t="s">
        <v>570</v>
      </c>
      <c r="B8" s="275" t="s">
        <v>571</v>
      </c>
      <c r="C8" s="276" t="s">
        <v>572</v>
      </c>
      <c r="D8" s="275" t="s">
        <v>573</v>
      </c>
      <c r="E8" s="275" t="s">
        <v>574</v>
      </c>
      <c r="F8" s="545"/>
      <c r="G8" s="547"/>
      <c r="H8" s="547"/>
      <c r="M8" s="274"/>
      <c r="N8" s="274"/>
      <c r="O8" s="274"/>
      <c r="P8" s="274"/>
      <c r="Q8" s="274"/>
      <c r="R8" s="274"/>
      <c r="S8" s="274"/>
      <c r="T8" s="274"/>
      <c r="U8" s="268"/>
      <c r="V8" s="268"/>
      <c r="W8" s="268"/>
      <c r="AN8" s="266" t="s">
        <v>72</v>
      </c>
    </row>
    <row r="9" spans="1:40" ht="32.25" customHeight="1" x14ac:dyDescent="0.5">
      <c r="A9" s="12">
        <v>36</v>
      </c>
      <c r="B9" s="293" t="s">
        <v>579</v>
      </c>
      <c r="C9" s="12"/>
      <c r="D9" s="13">
        <v>26082</v>
      </c>
      <c r="E9" s="13">
        <f>64381.5/2</f>
        <v>32190.75</v>
      </c>
      <c r="F9" s="277">
        <f t="shared" ref="F9:F11" si="0">IFERROR(E9/D9*100-100,)</f>
        <v>23.421325051759851</v>
      </c>
      <c r="G9" s="13"/>
      <c r="H9" s="278">
        <f t="shared" ref="H9:H11" si="1">IFERROR(G9/E9*100,)</f>
        <v>0</v>
      </c>
      <c r="M9" s="274"/>
      <c r="N9" s="267"/>
      <c r="O9" s="268"/>
      <c r="P9" s="268"/>
      <c r="Q9" s="268"/>
      <c r="R9" s="268"/>
      <c r="S9" s="268"/>
      <c r="T9" s="268"/>
      <c r="U9" s="268"/>
      <c r="V9" s="268"/>
      <c r="W9" s="268"/>
      <c r="AN9" s="266" t="s">
        <v>575</v>
      </c>
    </row>
    <row r="10" spans="1:40" ht="32.25" customHeight="1" x14ac:dyDescent="0.5">
      <c r="A10" s="12"/>
      <c r="B10" s="12" t="s">
        <v>580</v>
      </c>
      <c r="C10" s="12"/>
      <c r="D10" s="13">
        <v>10000</v>
      </c>
      <c r="E10" s="13">
        <v>10000</v>
      </c>
      <c r="F10" s="277">
        <f t="shared" si="0"/>
        <v>0</v>
      </c>
      <c r="G10" s="13"/>
      <c r="H10" s="278">
        <f t="shared" si="1"/>
        <v>0</v>
      </c>
      <c r="N10" s="267"/>
      <c r="O10" s="268"/>
      <c r="P10" s="268"/>
      <c r="Q10" s="268"/>
      <c r="R10" s="268"/>
      <c r="S10" s="268"/>
      <c r="T10" s="268"/>
      <c r="U10" s="268"/>
      <c r="V10" s="268"/>
      <c r="W10" s="268"/>
      <c r="AN10" s="266" t="s">
        <v>576</v>
      </c>
    </row>
    <row r="11" spans="1:40" s="284" customFormat="1" x14ac:dyDescent="0.3">
      <c r="A11" s="552" t="s">
        <v>0</v>
      </c>
      <c r="B11" s="552"/>
      <c r="C11" s="552"/>
      <c r="D11" s="280">
        <f>SUM(D9:D10)</f>
        <v>36082</v>
      </c>
      <c r="E11" s="280">
        <f>SUM(E9:E10)</f>
        <v>42190.75</v>
      </c>
      <c r="F11" s="281">
        <f t="shared" si="0"/>
        <v>16.93018679674077</v>
      </c>
      <c r="G11" s="280">
        <f>SUM(G9:G10)</f>
        <v>0</v>
      </c>
      <c r="H11" s="282">
        <f t="shared" si="1"/>
        <v>0</v>
      </c>
      <c r="I11" s="283"/>
    </row>
    <row r="12" spans="1:40" x14ac:dyDescent="0.5">
      <c r="A12" s="553"/>
      <c r="B12" s="553"/>
      <c r="C12" s="553"/>
      <c r="D12" s="553"/>
      <c r="E12" s="553"/>
      <c r="F12" s="553"/>
      <c r="G12" s="553"/>
      <c r="H12" s="553"/>
    </row>
    <row r="13" spans="1:40" x14ac:dyDescent="0.5">
      <c r="A13" s="554" t="s">
        <v>227</v>
      </c>
      <c r="B13" s="555"/>
      <c r="C13" s="555"/>
      <c r="D13" s="555"/>
      <c r="E13" s="555"/>
      <c r="F13" s="555"/>
      <c r="G13" s="555"/>
      <c r="H13" s="556"/>
      <c r="J13" s="285"/>
    </row>
    <row r="14" spans="1:40" x14ac:dyDescent="0.5">
      <c r="A14" s="549" t="s">
        <v>581</v>
      </c>
      <c r="B14" s="550"/>
      <c r="C14" s="550"/>
      <c r="D14" s="550"/>
      <c r="E14" s="550"/>
      <c r="F14" s="550"/>
      <c r="G14" s="550"/>
      <c r="H14" s="551"/>
    </row>
    <row r="15" spans="1:40" x14ac:dyDescent="0.5">
      <c r="A15" s="286"/>
      <c r="B15" s="286"/>
      <c r="C15" s="286"/>
      <c r="D15" s="286"/>
      <c r="E15" s="286"/>
      <c r="F15" s="286"/>
      <c r="G15" s="286"/>
      <c r="H15" s="286"/>
    </row>
    <row r="16" spans="1:40" x14ac:dyDescent="0.5">
      <c r="A16" s="286"/>
      <c r="B16" s="286"/>
      <c r="C16" s="286"/>
      <c r="D16" s="286"/>
      <c r="E16" s="286"/>
      <c r="F16" s="286"/>
      <c r="G16" s="286"/>
      <c r="H16" s="286"/>
    </row>
    <row r="17" spans="1:8" x14ac:dyDescent="0.5">
      <c r="A17" s="536" t="s">
        <v>561</v>
      </c>
      <c r="B17" s="537"/>
      <c r="C17" s="538" t="str">
        <f>'Quadro Geral'!C9</f>
        <v>Pagamento do CSC - centro de serviços compartilhados - 87,3%</v>
      </c>
      <c r="D17" s="538"/>
      <c r="E17" s="538"/>
      <c r="F17" s="538"/>
      <c r="G17" s="538"/>
      <c r="H17" s="539"/>
    </row>
    <row r="18" spans="1:8" x14ac:dyDescent="0.5">
      <c r="A18" s="537" t="s">
        <v>34</v>
      </c>
      <c r="B18" s="537"/>
      <c r="C18" s="538" t="str">
        <f>'Quadro Geral'!E9</f>
        <v>Tornar a fiscalização um vetor de melhoria do exercício da Arquitetura e Urbanismo</v>
      </c>
      <c r="D18" s="538"/>
      <c r="E18" s="538"/>
      <c r="F18" s="538"/>
      <c r="G18" s="538"/>
      <c r="H18" s="539"/>
    </row>
    <row r="19" spans="1:8" x14ac:dyDescent="0.5">
      <c r="A19" s="269"/>
      <c r="B19" s="269"/>
      <c r="C19" s="269"/>
      <c r="D19" s="270"/>
      <c r="E19" s="270"/>
      <c r="F19" s="270"/>
      <c r="G19" s="270" t="s">
        <v>155</v>
      </c>
      <c r="H19" s="270"/>
    </row>
    <row r="20" spans="1:8" x14ac:dyDescent="0.5">
      <c r="A20" s="540" t="s">
        <v>562</v>
      </c>
      <c r="B20" s="541"/>
      <c r="C20" s="541"/>
      <c r="D20" s="540" t="s">
        <v>563</v>
      </c>
      <c r="E20" s="541"/>
      <c r="F20" s="542"/>
      <c r="G20" s="543" t="s">
        <v>564</v>
      </c>
      <c r="H20" s="544"/>
    </row>
    <row r="21" spans="1:8" x14ac:dyDescent="0.5">
      <c r="A21" s="540" t="s">
        <v>565</v>
      </c>
      <c r="B21" s="541"/>
      <c r="C21" s="542"/>
      <c r="D21" s="540"/>
      <c r="E21" s="542"/>
      <c r="F21" s="545" t="s">
        <v>567</v>
      </c>
      <c r="G21" s="546" t="s">
        <v>568</v>
      </c>
      <c r="H21" s="546" t="s">
        <v>569</v>
      </c>
    </row>
    <row r="22" spans="1:8" ht="46.8" x14ac:dyDescent="0.5">
      <c r="A22" s="275" t="s">
        <v>570</v>
      </c>
      <c r="B22" s="275" t="s">
        <v>571</v>
      </c>
      <c r="C22" s="276" t="s">
        <v>572</v>
      </c>
      <c r="D22" s="275" t="s">
        <v>573</v>
      </c>
      <c r="E22" s="275" t="s">
        <v>574</v>
      </c>
      <c r="F22" s="545"/>
      <c r="G22" s="547"/>
      <c r="H22" s="547"/>
    </row>
    <row r="23" spans="1:8" ht="33.6" x14ac:dyDescent="0.5">
      <c r="A23" s="12"/>
      <c r="B23" s="265" t="s">
        <v>582</v>
      </c>
      <c r="C23" s="12"/>
      <c r="D23" s="13">
        <v>902968.92</v>
      </c>
      <c r="E23" s="13">
        <v>1177153.08</v>
      </c>
      <c r="F23" s="277">
        <f t="shared" ref="F23:F24" si="2">IFERROR(E23/D23*100-100,)</f>
        <v>30.364739464122408</v>
      </c>
      <c r="G23" s="13"/>
      <c r="H23" s="278">
        <f t="shared" ref="H23:H24" si="3">IFERROR(G23/E23*100,)</f>
        <v>0</v>
      </c>
    </row>
    <row r="24" spans="1:8" x14ac:dyDescent="0.5">
      <c r="A24" s="552" t="s">
        <v>0</v>
      </c>
      <c r="B24" s="552"/>
      <c r="C24" s="552"/>
      <c r="D24" s="280">
        <f>SUM(D23:D23)</f>
        <v>902968.92</v>
      </c>
      <c r="E24" s="280">
        <f>SUM(E23:E23)</f>
        <v>1177153.08</v>
      </c>
      <c r="F24" s="281">
        <f t="shared" si="2"/>
        <v>30.364739464122408</v>
      </c>
      <c r="G24" s="280">
        <f>SUM(G23:G23)</f>
        <v>0</v>
      </c>
      <c r="H24" s="282">
        <f t="shared" si="3"/>
        <v>0</v>
      </c>
    </row>
    <row r="25" spans="1:8" x14ac:dyDescent="0.5">
      <c r="A25" s="553"/>
      <c r="B25" s="553"/>
      <c r="C25" s="553"/>
      <c r="D25" s="553"/>
      <c r="E25" s="553"/>
      <c r="F25" s="553"/>
      <c r="G25" s="553"/>
      <c r="H25" s="553"/>
    </row>
    <row r="26" spans="1:8" x14ac:dyDescent="0.5">
      <c r="A26" s="554" t="s">
        <v>227</v>
      </c>
      <c r="B26" s="555"/>
      <c r="C26" s="555"/>
      <c r="D26" s="555"/>
      <c r="E26" s="555"/>
      <c r="F26" s="555"/>
      <c r="G26" s="555"/>
      <c r="H26" s="556"/>
    </row>
    <row r="27" spans="1:8" x14ac:dyDescent="0.5">
      <c r="A27" s="549"/>
      <c r="B27" s="550"/>
      <c r="C27" s="550"/>
      <c r="D27" s="550"/>
      <c r="E27" s="550"/>
      <c r="F27" s="550"/>
      <c r="G27" s="550"/>
      <c r="H27" s="551"/>
    </row>
    <row r="28" spans="1:8" x14ac:dyDescent="0.5">
      <c r="A28" s="286"/>
      <c r="B28" s="286"/>
      <c r="C28" s="286"/>
      <c r="D28" s="286"/>
      <c r="E28" s="286"/>
      <c r="F28" s="286"/>
      <c r="G28" s="286"/>
      <c r="H28" s="286"/>
    </row>
    <row r="29" spans="1:8" x14ac:dyDescent="0.5">
      <c r="A29" s="286"/>
      <c r="B29" s="286"/>
      <c r="C29" s="286"/>
      <c r="D29" s="286"/>
      <c r="E29" s="286"/>
      <c r="F29" s="286"/>
      <c r="G29" s="286"/>
      <c r="H29" s="286"/>
    </row>
    <row r="30" spans="1:8" x14ac:dyDescent="0.5">
      <c r="A30" s="536" t="s">
        <v>561</v>
      </c>
      <c r="B30" s="537"/>
      <c r="C30" s="538" t="str">
        <f>'Quadro Geral'!C10</f>
        <v>Pagamento do CSC - centro de serviços compartilhados - 12,7%</v>
      </c>
      <c r="D30" s="538"/>
      <c r="E30" s="538"/>
      <c r="F30" s="538"/>
      <c r="G30" s="538"/>
      <c r="H30" s="539"/>
    </row>
    <row r="31" spans="1:8" x14ac:dyDescent="0.5">
      <c r="A31" s="537" t="s">
        <v>34</v>
      </c>
      <c r="B31" s="537"/>
      <c r="C31" s="538" t="str">
        <f>'Quadro Geral'!E10</f>
        <v>Assegurar a eficácia no atendimento e no relacionamento com os Arquitetos e Urbanistas e a Sociedade</v>
      </c>
      <c r="D31" s="538"/>
      <c r="E31" s="538"/>
      <c r="F31" s="538"/>
      <c r="G31" s="538"/>
      <c r="H31" s="539"/>
    </row>
    <row r="32" spans="1:8" x14ac:dyDescent="0.5">
      <c r="A32" s="269"/>
      <c r="B32" s="269"/>
      <c r="C32" s="269"/>
      <c r="D32" s="270"/>
      <c r="E32" s="270"/>
      <c r="F32" s="270"/>
      <c r="G32" s="270" t="s">
        <v>155</v>
      </c>
      <c r="H32" s="270"/>
    </row>
    <row r="33" spans="1:8" x14ac:dyDescent="0.5">
      <c r="A33" s="540" t="s">
        <v>562</v>
      </c>
      <c r="B33" s="541"/>
      <c r="C33" s="541"/>
      <c r="D33" s="540" t="s">
        <v>563</v>
      </c>
      <c r="E33" s="541"/>
      <c r="F33" s="542"/>
      <c r="G33" s="543" t="s">
        <v>564</v>
      </c>
      <c r="H33" s="544"/>
    </row>
    <row r="34" spans="1:8" x14ac:dyDescent="0.5">
      <c r="A34" s="540" t="s">
        <v>565</v>
      </c>
      <c r="B34" s="541"/>
      <c r="C34" s="542"/>
      <c r="D34" s="540" t="s">
        <v>566</v>
      </c>
      <c r="E34" s="542"/>
      <c r="F34" s="545" t="s">
        <v>567</v>
      </c>
      <c r="G34" s="546" t="s">
        <v>568</v>
      </c>
      <c r="H34" s="546" t="s">
        <v>569</v>
      </c>
    </row>
    <row r="35" spans="1:8" ht="46.8" x14ac:dyDescent="0.5">
      <c r="A35" s="275" t="s">
        <v>570</v>
      </c>
      <c r="B35" s="275" t="s">
        <v>571</v>
      </c>
      <c r="C35" s="276" t="s">
        <v>572</v>
      </c>
      <c r="D35" s="275" t="s">
        <v>573</v>
      </c>
      <c r="E35" s="275" t="s">
        <v>574</v>
      </c>
      <c r="F35" s="545"/>
      <c r="G35" s="547"/>
      <c r="H35" s="547"/>
    </row>
    <row r="36" spans="1:8" ht="33.6" x14ac:dyDescent="0.5">
      <c r="A36" s="12"/>
      <c r="B36" s="265" t="s">
        <v>583</v>
      </c>
      <c r="C36" s="12"/>
      <c r="D36" s="13">
        <v>131001.63999999998</v>
      </c>
      <c r="E36" s="13">
        <v>140403.84</v>
      </c>
      <c r="F36" s="277">
        <f t="shared" ref="F36:F37" si="4">IFERROR(E36/D36*100-100,)</f>
        <v>7.1771620569025032</v>
      </c>
      <c r="G36" s="13"/>
      <c r="H36" s="278">
        <f t="shared" ref="H36:H37" si="5">IFERROR(G36/E36*100,)</f>
        <v>0</v>
      </c>
    </row>
    <row r="37" spans="1:8" x14ac:dyDescent="0.5">
      <c r="A37" s="552" t="s">
        <v>0</v>
      </c>
      <c r="B37" s="552"/>
      <c r="C37" s="552"/>
      <c r="D37" s="280">
        <f>SUM(D36:D36)</f>
        <v>131001.63999999998</v>
      </c>
      <c r="E37" s="280">
        <f>SUM(E36:E36)</f>
        <v>140403.84</v>
      </c>
      <c r="F37" s="281">
        <f t="shared" si="4"/>
        <v>7.1771620569025032</v>
      </c>
      <c r="G37" s="280">
        <f>SUM(G36:G36)</f>
        <v>0</v>
      </c>
      <c r="H37" s="282">
        <f t="shared" si="5"/>
        <v>0</v>
      </c>
    </row>
    <row r="38" spans="1:8" x14ac:dyDescent="0.5">
      <c r="A38" s="553"/>
      <c r="B38" s="553"/>
      <c r="C38" s="553"/>
      <c r="D38" s="553"/>
      <c r="E38" s="553"/>
      <c r="F38" s="553"/>
      <c r="G38" s="553"/>
      <c r="H38" s="553"/>
    </row>
    <row r="39" spans="1:8" x14ac:dyDescent="0.5">
      <c r="A39" s="554" t="s">
        <v>227</v>
      </c>
      <c r="B39" s="555"/>
      <c r="C39" s="555"/>
      <c r="D39" s="555"/>
      <c r="E39" s="555"/>
      <c r="F39" s="555"/>
      <c r="G39" s="555"/>
      <c r="H39" s="556"/>
    </row>
    <row r="40" spans="1:8" x14ac:dyDescent="0.5">
      <c r="A40" s="549"/>
      <c r="B40" s="550"/>
      <c r="C40" s="550"/>
      <c r="D40" s="550"/>
      <c r="E40" s="550"/>
      <c r="F40" s="550"/>
      <c r="G40" s="550"/>
      <c r="H40" s="551"/>
    </row>
    <row r="41" spans="1:8" x14ac:dyDescent="0.5">
      <c r="A41" s="286"/>
      <c r="B41" s="286"/>
      <c r="C41" s="286"/>
      <c r="D41" s="286"/>
      <c r="E41" s="286"/>
      <c r="F41" s="286"/>
      <c r="G41" s="286"/>
      <c r="H41" s="286"/>
    </row>
    <row r="42" spans="1:8" x14ac:dyDescent="0.5">
      <c r="A42" s="286"/>
      <c r="B42" s="286"/>
      <c r="C42" s="286"/>
      <c r="D42" s="286"/>
      <c r="E42" s="286"/>
      <c r="F42" s="286"/>
      <c r="G42" s="286"/>
      <c r="H42" s="286"/>
    </row>
    <row r="43" spans="1:8" x14ac:dyDescent="0.5">
      <c r="A43" s="536" t="s">
        <v>561</v>
      </c>
      <c r="B43" s="537"/>
      <c r="C43" s="557" t="str">
        <f>'Quadro Geral'!C11</f>
        <v>Pagamento do fundo de apoio</v>
      </c>
      <c r="D43" s="557"/>
      <c r="E43" s="557"/>
      <c r="F43" s="557"/>
      <c r="G43" s="557"/>
      <c r="H43" s="558"/>
    </row>
    <row r="44" spans="1:8" x14ac:dyDescent="0.5">
      <c r="A44" s="537" t="s">
        <v>34</v>
      </c>
      <c r="B44" s="537"/>
      <c r="C44" s="557" t="str">
        <f>'Quadro Geral'!E11</f>
        <v>Assegurar a sustentabilidade financeira</v>
      </c>
      <c r="D44" s="557"/>
      <c r="E44" s="557"/>
      <c r="F44" s="557"/>
      <c r="G44" s="557"/>
      <c r="H44" s="558"/>
    </row>
    <row r="45" spans="1:8" x14ac:dyDescent="0.5">
      <c r="A45" s="269"/>
      <c r="B45" s="269"/>
      <c r="C45" s="269"/>
      <c r="D45" s="270"/>
      <c r="E45" s="270"/>
      <c r="F45" s="270"/>
      <c r="G45" s="270" t="s">
        <v>155</v>
      </c>
      <c r="H45" s="270"/>
    </row>
    <row r="46" spans="1:8" x14ac:dyDescent="0.5">
      <c r="A46" s="540" t="s">
        <v>562</v>
      </c>
      <c r="B46" s="541"/>
      <c r="C46" s="541"/>
      <c r="D46" s="540" t="s">
        <v>563</v>
      </c>
      <c r="E46" s="541"/>
      <c r="F46" s="542"/>
      <c r="G46" s="543" t="s">
        <v>564</v>
      </c>
      <c r="H46" s="544"/>
    </row>
    <row r="47" spans="1:8" x14ac:dyDescent="0.5">
      <c r="A47" s="540" t="s">
        <v>565</v>
      </c>
      <c r="B47" s="541"/>
      <c r="C47" s="542"/>
      <c r="D47" s="540" t="s">
        <v>566</v>
      </c>
      <c r="E47" s="542"/>
      <c r="F47" s="545" t="s">
        <v>567</v>
      </c>
      <c r="G47" s="546" t="s">
        <v>568</v>
      </c>
      <c r="H47" s="546" t="s">
        <v>569</v>
      </c>
    </row>
    <row r="48" spans="1:8" ht="46.8" x14ac:dyDescent="0.5">
      <c r="A48" s="275" t="s">
        <v>570</v>
      </c>
      <c r="B48" s="275" t="s">
        <v>571</v>
      </c>
      <c r="C48" s="276" t="s">
        <v>572</v>
      </c>
      <c r="D48" s="275" t="s">
        <v>573</v>
      </c>
      <c r="E48" s="275" t="s">
        <v>574</v>
      </c>
      <c r="F48" s="545"/>
      <c r="G48" s="547"/>
      <c r="H48" s="547"/>
    </row>
    <row r="49" spans="1:12" ht="39.6" customHeight="1" x14ac:dyDescent="0.5">
      <c r="A49" s="12"/>
      <c r="B49" s="265" t="s">
        <v>584</v>
      </c>
      <c r="C49" s="12"/>
      <c r="D49" s="13">
        <v>291245.11</v>
      </c>
      <c r="E49" s="13">
        <v>273150.81</v>
      </c>
      <c r="F49" s="277">
        <f t="shared" ref="F49:F50" si="6">IFERROR(E49/D49*100-100,)</f>
        <v>-6.2127395031628083</v>
      </c>
      <c r="G49" s="13"/>
      <c r="H49" s="278">
        <f t="shared" ref="H49:H50" si="7">IFERROR(G49/E49*100,)</f>
        <v>0</v>
      </c>
    </row>
    <row r="50" spans="1:12" x14ac:dyDescent="0.5">
      <c r="A50" s="552" t="s">
        <v>0</v>
      </c>
      <c r="B50" s="552"/>
      <c r="C50" s="552"/>
      <c r="D50" s="280">
        <f>SUM(D49:D49)</f>
        <v>291245.11</v>
      </c>
      <c r="E50" s="280">
        <f>SUM(E49:E49)</f>
        <v>273150.81</v>
      </c>
      <c r="F50" s="281">
        <f t="shared" si="6"/>
        <v>-6.2127395031628083</v>
      </c>
      <c r="G50" s="280">
        <f>SUM(G49:G49)</f>
        <v>0</v>
      </c>
      <c r="H50" s="282">
        <f t="shared" si="7"/>
        <v>0</v>
      </c>
    </row>
    <row r="51" spans="1:12" x14ac:dyDescent="0.5">
      <c r="A51" s="553"/>
      <c r="B51" s="553"/>
      <c r="C51" s="553"/>
      <c r="D51" s="553"/>
      <c r="E51" s="553"/>
      <c r="F51" s="553"/>
      <c r="G51" s="553"/>
      <c r="H51" s="553"/>
    </row>
    <row r="52" spans="1:12" x14ac:dyDescent="0.5">
      <c r="A52" s="554" t="s">
        <v>227</v>
      </c>
      <c r="B52" s="555"/>
      <c r="C52" s="555"/>
      <c r="D52" s="555"/>
      <c r="E52" s="555"/>
      <c r="F52" s="555"/>
      <c r="G52" s="555"/>
      <c r="H52" s="556"/>
    </row>
    <row r="53" spans="1:12" x14ac:dyDescent="0.5">
      <c r="A53" s="549"/>
      <c r="B53" s="550"/>
      <c r="C53" s="550"/>
      <c r="D53" s="550"/>
      <c r="E53" s="550"/>
      <c r="F53" s="550"/>
      <c r="G53" s="550"/>
      <c r="H53" s="551"/>
    </row>
    <row r="54" spans="1:12" x14ac:dyDescent="0.5">
      <c r="A54" s="290"/>
      <c r="B54" s="291"/>
      <c r="C54" s="291"/>
      <c r="D54" s="291"/>
      <c r="E54" s="291"/>
      <c r="F54" s="291"/>
      <c r="G54" s="291"/>
      <c r="H54" s="292"/>
    </row>
    <row r="55" spans="1:12" x14ac:dyDescent="0.5">
      <c r="A55" s="290"/>
      <c r="B55" s="291"/>
      <c r="C55" s="291"/>
      <c r="D55" s="291"/>
      <c r="E55" s="291"/>
      <c r="F55" s="291"/>
      <c r="G55" s="291"/>
      <c r="H55" s="292"/>
    </row>
    <row r="56" spans="1:12" x14ac:dyDescent="0.5">
      <c r="A56" s="554" t="s">
        <v>577</v>
      </c>
      <c r="B56" s="555"/>
      <c r="C56" s="555"/>
      <c r="D56" s="555"/>
      <c r="E56" s="555"/>
      <c r="F56" s="555"/>
      <c r="G56" s="555"/>
      <c r="H56" s="556"/>
      <c r="I56" s="287"/>
      <c r="J56" s="288"/>
      <c r="K56" s="288"/>
      <c r="L56" s="272"/>
    </row>
    <row r="57" spans="1:12" ht="129" customHeight="1" x14ac:dyDescent="0.5">
      <c r="A57" s="548" t="s">
        <v>578</v>
      </c>
      <c r="B57" s="548"/>
      <c r="C57" s="548"/>
      <c r="D57" s="548"/>
      <c r="E57" s="548"/>
      <c r="F57" s="548"/>
      <c r="G57" s="548"/>
      <c r="H57" s="548"/>
    </row>
    <row r="58" spans="1:12" ht="181.5" customHeight="1" x14ac:dyDescent="0.5">
      <c r="A58" s="548"/>
      <c r="B58" s="548"/>
      <c r="C58" s="548"/>
      <c r="D58" s="548"/>
      <c r="E58" s="548"/>
      <c r="F58" s="548"/>
      <c r="G58" s="548"/>
      <c r="H58" s="548"/>
    </row>
    <row r="59" spans="1:12" x14ac:dyDescent="0.5"/>
    <row r="60" spans="1:12" x14ac:dyDescent="0.5"/>
    <row r="61" spans="1:12" x14ac:dyDescent="0.5"/>
    <row r="62" spans="1:12" x14ac:dyDescent="0.5"/>
    <row r="63" spans="1:12" x14ac:dyDescent="0.5"/>
    <row r="64" spans="1:12" x14ac:dyDescent="0.5"/>
    <row r="65" x14ac:dyDescent="0.5"/>
    <row r="66" x14ac:dyDescent="0.5"/>
    <row r="67" x14ac:dyDescent="0.5"/>
    <row r="68" x14ac:dyDescent="0.5"/>
    <row r="69" x14ac:dyDescent="0.5"/>
    <row r="70" x14ac:dyDescent="0.5"/>
    <row r="71" x14ac:dyDescent="0.5"/>
    <row r="72" x14ac:dyDescent="0.5"/>
    <row r="73" x14ac:dyDescent="0.5"/>
    <row r="74" x14ac:dyDescent="0.5"/>
    <row r="75" x14ac:dyDescent="0.5"/>
    <row r="76" x14ac:dyDescent="0.5"/>
    <row r="77" x14ac:dyDescent="0.5"/>
    <row r="78" x14ac:dyDescent="0.5"/>
    <row r="79" x14ac:dyDescent="0.5"/>
    <row r="80" x14ac:dyDescent="0.5"/>
    <row r="81" x14ac:dyDescent="0.5"/>
    <row r="82" x14ac:dyDescent="0.5"/>
    <row r="83" x14ac:dyDescent="0.5"/>
    <row r="84" x14ac:dyDescent="0.5"/>
    <row r="85" x14ac:dyDescent="0.5"/>
    <row r="86" x14ac:dyDescent="0.5"/>
    <row r="87" x14ac:dyDescent="0.5"/>
    <row r="88" x14ac:dyDescent="0.5"/>
    <row r="89" x14ac:dyDescent="0.5"/>
    <row r="90" x14ac:dyDescent="0.5"/>
    <row r="91" x14ac:dyDescent="0.5"/>
  </sheetData>
  <sheetProtection formatCells="0" formatRows="0" insertRows="0" deleteRows="0"/>
  <mergeCells count="68">
    <mergeCell ref="A52:H52"/>
    <mergeCell ref="A53:H53"/>
    <mergeCell ref="A44:B44"/>
    <mergeCell ref="C44:H44"/>
    <mergeCell ref="A46:C46"/>
    <mergeCell ref="D46:F46"/>
    <mergeCell ref="G46:H46"/>
    <mergeCell ref="A47:C47"/>
    <mergeCell ref="D47:E47"/>
    <mergeCell ref="F47:F48"/>
    <mergeCell ref="G47:G48"/>
    <mergeCell ref="H47:H48"/>
    <mergeCell ref="A40:H40"/>
    <mergeCell ref="A43:B43"/>
    <mergeCell ref="C43:H43"/>
    <mergeCell ref="A50:C50"/>
    <mergeCell ref="A51:H51"/>
    <mergeCell ref="D33:F33"/>
    <mergeCell ref="G33:H33"/>
    <mergeCell ref="A37:C37"/>
    <mergeCell ref="A38:H38"/>
    <mergeCell ref="A39:H39"/>
    <mergeCell ref="A11:C11"/>
    <mergeCell ref="A12:H12"/>
    <mergeCell ref="A13:H13"/>
    <mergeCell ref="A14:H14"/>
    <mergeCell ref="A56:H56"/>
    <mergeCell ref="A20:C20"/>
    <mergeCell ref="D20:F20"/>
    <mergeCell ref="G20:H20"/>
    <mergeCell ref="A21:C21"/>
    <mergeCell ref="D21:E21"/>
    <mergeCell ref="F21:F22"/>
    <mergeCell ref="G21:G22"/>
    <mergeCell ref="H21:H22"/>
    <mergeCell ref="A24:C24"/>
    <mergeCell ref="A25:H25"/>
    <mergeCell ref="A26:H26"/>
    <mergeCell ref="A57:H58"/>
    <mergeCell ref="A17:B17"/>
    <mergeCell ref="C17:H17"/>
    <mergeCell ref="A18:B18"/>
    <mergeCell ref="C18:H18"/>
    <mergeCell ref="A27:H27"/>
    <mergeCell ref="A30:B30"/>
    <mergeCell ref="C30:H30"/>
    <mergeCell ref="A34:C34"/>
    <mergeCell ref="D34:E34"/>
    <mergeCell ref="F34:F35"/>
    <mergeCell ref="G34:G35"/>
    <mergeCell ref="H34:H35"/>
    <mergeCell ref="A31:B31"/>
    <mergeCell ref="C31:H31"/>
    <mergeCell ref="A33:C33"/>
    <mergeCell ref="A6:C6"/>
    <mergeCell ref="D6:F6"/>
    <mergeCell ref="G6:H6"/>
    <mergeCell ref="A7:C7"/>
    <mergeCell ref="D7:E7"/>
    <mergeCell ref="F7:F8"/>
    <mergeCell ref="G7:G8"/>
    <mergeCell ref="H7:H8"/>
    <mergeCell ref="A1:H1"/>
    <mergeCell ref="A2:H2"/>
    <mergeCell ref="A3:B3"/>
    <mergeCell ref="C3:H3"/>
    <mergeCell ref="A4:B4"/>
    <mergeCell ref="C4:H4"/>
  </mergeCells>
  <dataValidations count="1">
    <dataValidation type="list" allowBlank="1" showInputMessage="1" showErrorMessage="1" sqref="AN8:AN9">
      <formula1>$AN$8:$AN$9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'[5]AÇÕES ESTRATÉGICAS - DESCRIÇÃO '!#REF!</xm:f>
          </x14:formula1>
          <xm:sqref>C9:C10 C23 C36 C49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rgb="FFFFFF00"/>
  </sheetPr>
  <dimension ref="A1:AN62"/>
  <sheetViews>
    <sheetView showGridLines="0" topLeftCell="A13" zoomScale="80" zoomScaleNormal="80" zoomScaleSheetLayoutView="80" workbookViewId="0">
      <selection activeCell="E23" sqref="E23"/>
    </sheetView>
  </sheetViews>
  <sheetFormatPr defaultColWidth="0" defaultRowHeight="25.8" zeroHeight="1" x14ac:dyDescent="0.5"/>
  <cols>
    <col min="1" max="1" width="18.44140625" style="265" customWidth="1"/>
    <col min="2" max="2" width="79.6640625" style="265" customWidth="1"/>
    <col min="3" max="3" width="22.109375" style="265" customWidth="1"/>
    <col min="4" max="5" width="18.44140625" style="265" customWidth="1"/>
    <col min="6" max="6" width="14.33203125" style="265" customWidth="1"/>
    <col min="7" max="8" width="18.109375" style="289" hidden="1" customWidth="1"/>
    <col min="9" max="9" width="10.33203125" style="265" bestFit="1" customWidth="1"/>
    <col min="10" max="40" width="0" style="266" hidden="1" customWidth="1"/>
    <col min="41" max="16384" width="36.88671875" style="266" hidden="1"/>
  </cols>
  <sheetData>
    <row r="1" spans="1:40" x14ac:dyDescent="0.5">
      <c r="A1" s="531" t="s">
        <v>559</v>
      </c>
      <c r="B1" s="532"/>
      <c r="C1" s="532"/>
      <c r="D1" s="532"/>
      <c r="E1" s="532"/>
      <c r="F1" s="532"/>
      <c r="G1" s="532"/>
      <c r="H1" s="533"/>
    </row>
    <row r="2" spans="1:40" ht="63.75" customHeight="1" x14ac:dyDescent="0.5">
      <c r="A2" s="534" t="s">
        <v>560</v>
      </c>
      <c r="B2" s="534"/>
      <c r="C2" s="534"/>
      <c r="D2" s="534"/>
      <c r="E2" s="534"/>
      <c r="F2" s="534"/>
      <c r="G2" s="534"/>
      <c r="H2" s="535"/>
    </row>
    <row r="3" spans="1:40" x14ac:dyDescent="0.5">
      <c r="A3" s="536" t="s">
        <v>561</v>
      </c>
      <c r="B3" s="537"/>
      <c r="C3" s="538" t="str">
        <f>'Quadro Geral'!C12</f>
        <v>Manutenção das atividades operacionais da comissão de organização e administração</v>
      </c>
      <c r="D3" s="538"/>
      <c r="E3" s="538"/>
      <c r="F3" s="538"/>
      <c r="G3" s="538"/>
      <c r="H3" s="539"/>
      <c r="N3" s="267"/>
      <c r="O3" s="268"/>
      <c r="P3" s="268"/>
      <c r="Q3" s="268"/>
      <c r="R3" s="268"/>
      <c r="S3" s="268"/>
      <c r="T3" s="268"/>
      <c r="U3" s="268"/>
      <c r="V3" s="268"/>
      <c r="W3" s="268"/>
    </row>
    <row r="4" spans="1:40" ht="30.75" customHeight="1" x14ac:dyDescent="0.5">
      <c r="A4" s="537" t="s">
        <v>34</v>
      </c>
      <c r="B4" s="537"/>
      <c r="C4" s="538" t="str">
        <f>'Quadro Geral'!E12</f>
        <v>Aprimorar e inovar os processos e as ações</v>
      </c>
      <c r="D4" s="538"/>
      <c r="E4" s="538"/>
      <c r="F4" s="538"/>
      <c r="G4" s="538"/>
      <c r="H4" s="539"/>
      <c r="V4" s="268"/>
      <c r="W4" s="268"/>
    </row>
    <row r="5" spans="1:40" s="272" customFormat="1" ht="49.5" customHeight="1" x14ac:dyDescent="0.5">
      <c r="A5" s="269"/>
      <c r="B5" s="269"/>
      <c r="C5" s="269"/>
      <c r="D5" s="270"/>
      <c r="E5" s="270"/>
      <c r="F5" s="270"/>
      <c r="G5" s="270" t="s">
        <v>155</v>
      </c>
      <c r="H5" s="270"/>
      <c r="I5" s="271"/>
      <c r="N5" s="273"/>
      <c r="O5" s="274"/>
      <c r="P5" s="274"/>
      <c r="Q5" s="274"/>
      <c r="R5" s="274"/>
      <c r="S5" s="274"/>
      <c r="T5" s="274"/>
      <c r="U5" s="274"/>
      <c r="V5" s="274"/>
      <c r="W5" s="274"/>
    </row>
    <row r="6" spans="1:40" x14ac:dyDescent="0.5">
      <c r="A6" s="540" t="s">
        <v>562</v>
      </c>
      <c r="B6" s="541"/>
      <c r="C6" s="541"/>
      <c r="D6" s="540" t="s">
        <v>563</v>
      </c>
      <c r="E6" s="541"/>
      <c r="F6" s="542"/>
      <c r="G6" s="543" t="s">
        <v>564</v>
      </c>
      <c r="H6" s="544"/>
      <c r="M6" s="274"/>
      <c r="N6" s="274"/>
      <c r="O6" s="274"/>
      <c r="P6" s="274"/>
      <c r="Q6" s="274"/>
      <c r="R6" s="274"/>
      <c r="S6" s="274"/>
      <c r="T6" s="274"/>
      <c r="U6" s="268"/>
      <c r="V6" s="268"/>
      <c r="W6" s="268"/>
    </row>
    <row r="7" spans="1:40" x14ac:dyDescent="0.5">
      <c r="A7" s="540" t="s">
        <v>565</v>
      </c>
      <c r="B7" s="541"/>
      <c r="C7" s="542"/>
      <c r="D7" s="540" t="s">
        <v>566</v>
      </c>
      <c r="E7" s="542"/>
      <c r="F7" s="545" t="s">
        <v>567</v>
      </c>
      <c r="G7" s="546" t="s">
        <v>568</v>
      </c>
      <c r="H7" s="546" t="s">
        <v>569</v>
      </c>
      <c r="M7" s="274"/>
      <c r="N7" s="274"/>
      <c r="O7" s="274"/>
      <c r="P7" s="274"/>
      <c r="Q7" s="274"/>
      <c r="R7" s="274"/>
      <c r="S7" s="274"/>
      <c r="T7" s="274"/>
      <c r="U7" s="268"/>
      <c r="V7" s="268"/>
      <c r="W7" s="268"/>
    </row>
    <row r="8" spans="1:40" ht="63" customHeight="1" x14ac:dyDescent="0.5">
      <c r="A8" s="275" t="s">
        <v>570</v>
      </c>
      <c r="B8" s="275" t="s">
        <v>571</v>
      </c>
      <c r="C8" s="276" t="s">
        <v>572</v>
      </c>
      <c r="D8" s="275" t="s">
        <v>573</v>
      </c>
      <c r="E8" s="275" t="s">
        <v>574</v>
      </c>
      <c r="F8" s="545"/>
      <c r="G8" s="547"/>
      <c r="H8" s="547"/>
      <c r="M8" s="274"/>
      <c r="N8" s="274"/>
      <c r="O8" s="274"/>
      <c r="P8" s="274"/>
      <c r="Q8" s="274"/>
      <c r="R8" s="274"/>
      <c r="S8" s="274"/>
      <c r="T8" s="274"/>
      <c r="U8" s="268"/>
      <c r="V8" s="268"/>
      <c r="W8" s="268"/>
      <c r="AN8" s="266" t="s">
        <v>72</v>
      </c>
    </row>
    <row r="9" spans="1:40" ht="32.25" customHeight="1" x14ac:dyDescent="0.5">
      <c r="A9" s="12">
        <v>30</v>
      </c>
      <c r="B9" s="265" t="s">
        <v>579</v>
      </c>
      <c r="C9" s="12"/>
      <c r="D9" s="13">
        <v>18285.75</v>
      </c>
      <c r="E9" s="378">
        <f>40646.3/2</f>
        <v>20323.150000000001</v>
      </c>
      <c r="F9" s="277">
        <f t="shared" ref="F9:F10" si="0">IFERROR(E9/D9*100-100,)</f>
        <v>11.142009488262715</v>
      </c>
      <c r="G9" s="13"/>
      <c r="H9" s="278">
        <f t="shared" ref="H9:H10" si="1">IFERROR(G9/E9*100,)</f>
        <v>0</v>
      </c>
      <c r="M9" s="274"/>
      <c r="N9" s="267"/>
      <c r="O9" s="268"/>
      <c r="P9" s="268"/>
      <c r="Q9" s="268"/>
      <c r="R9" s="268"/>
      <c r="S9" s="268"/>
      <c r="T9" s="268"/>
      <c r="U9" s="268"/>
      <c r="V9" s="268"/>
      <c r="W9" s="268"/>
      <c r="AN9" s="266" t="s">
        <v>575</v>
      </c>
    </row>
    <row r="10" spans="1:40" s="284" customFormat="1" x14ac:dyDescent="0.3">
      <c r="A10" s="552" t="s">
        <v>0</v>
      </c>
      <c r="B10" s="552"/>
      <c r="C10" s="552"/>
      <c r="D10" s="280">
        <f>SUM(D9:D9)</f>
        <v>18285.75</v>
      </c>
      <c r="E10" s="280">
        <f>SUM(E9:E9)</f>
        <v>20323.150000000001</v>
      </c>
      <c r="F10" s="281">
        <f t="shared" si="0"/>
        <v>11.142009488262715</v>
      </c>
      <c r="G10" s="280">
        <f>SUM(G9:G9)</f>
        <v>0</v>
      </c>
      <c r="H10" s="282">
        <f t="shared" si="1"/>
        <v>0</v>
      </c>
      <c r="I10" s="283"/>
    </row>
    <row r="11" spans="1:40" x14ac:dyDescent="0.5">
      <c r="A11" s="553"/>
      <c r="B11" s="553"/>
      <c r="C11" s="553"/>
      <c r="D11" s="553"/>
      <c r="E11" s="553"/>
      <c r="F11" s="553"/>
      <c r="G11" s="553"/>
      <c r="H11" s="553"/>
    </row>
    <row r="12" spans="1:40" x14ac:dyDescent="0.5">
      <c r="A12" s="554" t="s">
        <v>227</v>
      </c>
      <c r="B12" s="555"/>
      <c r="C12" s="555"/>
      <c r="D12" s="555"/>
      <c r="E12" s="555"/>
      <c r="F12" s="555"/>
      <c r="G12" s="555"/>
      <c r="H12" s="556"/>
      <c r="J12" s="285"/>
    </row>
    <row r="13" spans="1:40" x14ac:dyDescent="0.5">
      <c r="A13" s="549"/>
      <c r="B13" s="550"/>
      <c r="C13" s="550"/>
      <c r="D13" s="550"/>
      <c r="E13" s="550"/>
      <c r="F13" s="550"/>
      <c r="G13" s="550"/>
      <c r="H13" s="551"/>
    </row>
    <row r="14" spans="1:40" x14ac:dyDescent="0.5">
      <c r="A14" s="286"/>
      <c r="B14" s="286"/>
      <c r="C14" s="286"/>
      <c r="D14" s="286"/>
      <c r="E14" s="286"/>
      <c r="F14" s="286"/>
      <c r="G14" s="286"/>
      <c r="H14" s="286"/>
    </row>
    <row r="15" spans="1:40" x14ac:dyDescent="0.5">
      <c r="A15" s="286"/>
      <c r="B15" s="286"/>
      <c r="C15" s="286"/>
      <c r="D15" s="286"/>
      <c r="E15" s="286"/>
      <c r="F15" s="286"/>
      <c r="G15" s="286"/>
      <c r="H15" s="286"/>
    </row>
    <row r="16" spans="1:40" x14ac:dyDescent="0.5">
      <c r="A16" s="536" t="s">
        <v>561</v>
      </c>
      <c r="B16" s="537"/>
      <c r="C16" s="538" t="str">
        <f>'Quadro Geral'!C13</f>
        <v>Capacitação de conselheiros e funcionários nas áreas técnicas e comportamentais</v>
      </c>
      <c r="D16" s="538"/>
      <c r="E16" s="538"/>
      <c r="F16" s="538"/>
      <c r="G16" s="538"/>
      <c r="H16" s="539"/>
    </row>
    <row r="17" spans="1:12" x14ac:dyDescent="0.5">
      <c r="A17" s="537" t="s">
        <v>34</v>
      </c>
      <c r="B17" s="537"/>
      <c r="C17" s="538" t="str">
        <f>'Quadro Geral'!E13</f>
        <v>Desenvolver competências de dirigentes e colaboradores</v>
      </c>
      <c r="D17" s="538"/>
      <c r="E17" s="538"/>
      <c r="F17" s="538"/>
      <c r="G17" s="538"/>
      <c r="H17" s="539"/>
    </row>
    <row r="18" spans="1:12" x14ac:dyDescent="0.5">
      <c r="A18" s="269"/>
      <c r="B18" s="269"/>
      <c r="C18" s="269"/>
      <c r="D18" s="270"/>
      <c r="E18" s="270"/>
      <c r="F18" s="270"/>
      <c r="G18" s="270" t="s">
        <v>155</v>
      </c>
      <c r="H18" s="270"/>
    </row>
    <row r="19" spans="1:12" x14ac:dyDescent="0.5">
      <c r="A19" s="540" t="s">
        <v>562</v>
      </c>
      <c r="B19" s="541"/>
      <c r="C19" s="541"/>
      <c r="D19" s="540" t="s">
        <v>563</v>
      </c>
      <c r="E19" s="541"/>
      <c r="F19" s="542"/>
      <c r="G19" s="543" t="s">
        <v>564</v>
      </c>
      <c r="H19" s="544"/>
    </row>
    <row r="20" spans="1:12" x14ac:dyDescent="0.5">
      <c r="A20" s="540" t="s">
        <v>565</v>
      </c>
      <c r="B20" s="541"/>
      <c r="C20" s="542"/>
      <c r="D20" s="540" t="s">
        <v>566</v>
      </c>
      <c r="E20" s="542"/>
      <c r="F20" s="545" t="s">
        <v>567</v>
      </c>
      <c r="G20" s="546" t="s">
        <v>568</v>
      </c>
      <c r="H20" s="546" t="s">
        <v>569</v>
      </c>
    </row>
    <row r="21" spans="1:12" ht="46.8" x14ac:dyDescent="0.5">
      <c r="A21" s="275" t="s">
        <v>570</v>
      </c>
      <c r="B21" s="275" t="s">
        <v>571</v>
      </c>
      <c r="C21" s="276" t="s">
        <v>572</v>
      </c>
      <c r="D21" s="275" t="s">
        <v>573</v>
      </c>
      <c r="E21" s="275" t="s">
        <v>574</v>
      </c>
      <c r="F21" s="545"/>
      <c r="G21" s="547"/>
      <c r="H21" s="547"/>
    </row>
    <row r="22" spans="1:12" x14ac:dyDescent="0.5">
      <c r="A22" s="12"/>
      <c r="B22" s="265" t="s">
        <v>585</v>
      </c>
      <c r="C22" s="12"/>
      <c r="D22" s="13">
        <v>11678.72</v>
      </c>
      <c r="E22" s="13">
        <f>16495.0500000007+66194.0666009332-72240+0.00594113767147064</f>
        <v>10449.122542071578</v>
      </c>
      <c r="F22" s="277">
        <f t="shared" ref="F22:F23" si="2">IFERROR(E22/D22*100-100,)</f>
        <v>-10.528529307393455</v>
      </c>
      <c r="G22" s="13"/>
      <c r="H22" s="278">
        <f t="shared" ref="H22:H23" si="3">IFERROR(G22/E22*100,)</f>
        <v>0</v>
      </c>
    </row>
    <row r="23" spans="1:12" x14ac:dyDescent="0.5">
      <c r="A23" s="552" t="s">
        <v>0</v>
      </c>
      <c r="B23" s="552"/>
      <c r="C23" s="552"/>
      <c r="D23" s="280">
        <f>SUM(D22:D22)</f>
        <v>11678.72</v>
      </c>
      <c r="E23" s="280">
        <f>SUM(E22:E22)</f>
        <v>10449.122542071578</v>
      </c>
      <c r="F23" s="281">
        <f t="shared" si="2"/>
        <v>-10.528529307393455</v>
      </c>
      <c r="G23" s="280">
        <f>SUM(G22:G22)</f>
        <v>0</v>
      </c>
      <c r="H23" s="282">
        <f t="shared" si="3"/>
        <v>0</v>
      </c>
    </row>
    <row r="24" spans="1:12" x14ac:dyDescent="0.5">
      <c r="A24" s="553"/>
      <c r="B24" s="553"/>
      <c r="C24" s="553"/>
      <c r="D24" s="553"/>
      <c r="E24" s="553"/>
      <c r="F24" s="553"/>
      <c r="G24" s="553"/>
      <c r="H24" s="553"/>
    </row>
    <row r="25" spans="1:12" x14ac:dyDescent="0.5">
      <c r="A25" s="554" t="s">
        <v>227</v>
      </c>
      <c r="B25" s="555"/>
      <c r="C25" s="555"/>
      <c r="D25" s="555"/>
      <c r="E25" s="555"/>
      <c r="F25" s="555"/>
      <c r="G25" s="555"/>
      <c r="H25" s="556"/>
    </row>
    <row r="26" spans="1:12" x14ac:dyDescent="0.5">
      <c r="A26" s="549"/>
      <c r="B26" s="550"/>
      <c r="C26" s="550"/>
      <c r="D26" s="550"/>
      <c r="E26" s="550"/>
      <c r="F26" s="550"/>
      <c r="G26" s="550"/>
      <c r="H26" s="551"/>
    </row>
    <row r="27" spans="1:12" x14ac:dyDescent="0.5">
      <c r="A27" s="286"/>
      <c r="B27" s="286"/>
      <c r="C27" s="286"/>
      <c r="D27" s="286"/>
      <c r="E27" s="286"/>
      <c r="F27" s="286"/>
      <c r="G27" s="286"/>
      <c r="H27" s="286"/>
    </row>
    <row r="28" spans="1:12" x14ac:dyDescent="0.5">
      <c r="A28" s="286"/>
      <c r="B28" s="286"/>
      <c r="C28" s="286"/>
      <c r="D28" s="286"/>
      <c r="E28" s="286"/>
      <c r="F28" s="286"/>
      <c r="G28" s="286"/>
      <c r="H28" s="286"/>
    </row>
    <row r="29" spans="1:12" x14ac:dyDescent="0.5">
      <c r="A29" s="554" t="s">
        <v>577</v>
      </c>
      <c r="B29" s="555"/>
      <c r="C29" s="555"/>
      <c r="D29" s="555"/>
      <c r="E29" s="555"/>
      <c r="F29" s="555"/>
      <c r="G29" s="555"/>
      <c r="H29" s="556"/>
      <c r="I29" s="287"/>
      <c r="J29" s="288"/>
      <c r="K29" s="288"/>
      <c r="L29" s="272"/>
    </row>
    <row r="30" spans="1:12" ht="129" customHeight="1" x14ac:dyDescent="0.5">
      <c r="A30" s="548" t="s">
        <v>578</v>
      </c>
      <c r="B30" s="548"/>
      <c r="C30" s="548"/>
      <c r="D30" s="548"/>
      <c r="E30" s="548"/>
      <c r="F30" s="548"/>
      <c r="G30" s="548"/>
      <c r="H30" s="548"/>
    </row>
    <row r="31" spans="1:12" ht="181.5" customHeight="1" x14ac:dyDescent="0.5">
      <c r="A31" s="548"/>
      <c r="B31" s="548"/>
      <c r="C31" s="548"/>
      <c r="D31" s="548"/>
      <c r="E31" s="548"/>
      <c r="F31" s="548"/>
      <c r="G31" s="548"/>
      <c r="H31" s="548"/>
    </row>
    <row r="32" spans="1:12" x14ac:dyDescent="0.5"/>
    <row r="33" x14ac:dyDescent="0.5"/>
    <row r="34" x14ac:dyDescent="0.5"/>
    <row r="35" x14ac:dyDescent="0.5"/>
    <row r="36" x14ac:dyDescent="0.5"/>
    <row r="37" x14ac:dyDescent="0.5"/>
    <row r="38" x14ac:dyDescent="0.5"/>
    <row r="39" x14ac:dyDescent="0.5"/>
    <row r="40" x14ac:dyDescent="0.5"/>
    <row r="41" x14ac:dyDescent="0.5"/>
    <row r="42" x14ac:dyDescent="0.5"/>
    <row r="43" x14ac:dyDescent="0.5"/>
    <row r="44" x14ac:dyDescent="0.5"/>
    <row r="45" x14ac:dyDescent="0.5"/>
    <row r="46" x14ac:dyDescent="0.5"/>
    <row r="47" x14ac:dyDescent="0.5"/>
    <row r="48" x14ac:dyDescent="0.5"/>
    <row r="49" x14ac:dyDescent="0.5"/>
    <row r="50" x14ac:dyDescent="0.5"/>
    <row r="51" x14ac:dyDescent="0.5"/>
    <row r="52" x14ac:dyDescent="0.5"/>
    <row r="53" x14ac:dyDescent="0.5"/>
    <row r="54" x14ac:dyDescent="0.5"/>
    <row r="55" x14ac:dyDescent="0.5"/>
    <row r="56" x14ac:dyDescent="0.5"/>
    <row r="57" x14ac:dyDescent="0.5"/>
    <row r="58" x14ac:dyDescent="0.5"/>
    <row r="59" x14ac:dyDescent="0.5"/>
    <row r="60" x14ac:dyDescent="0.5"/>
    <row r="61" x14ac:dyDescent="0.5"/>
    <row r="62" x14ac:dyDescent="0.5"/>
  </sheetData>
  <sheetProtection formatCells="0" formatRows="0" insertRows="0" deleteRows="0"/>
  <mergeCells count="36">
    <mergeCell ref="A10:C10"/>
    <mergeCell ref="A11:H11"/>
    <mergeCell ref="A12:H12"/>
    <mergeCell ref="A13:H13"/>
    <mergeCell ref="A29:H29"/>
    <mergeCell ref="A20:C20"/>
    <mergeCell ref="D20:E20"/>
    <mergeCell ref="F20:F21"/>
    <mergeCell ref="G20:G21"/>
    <mergeCell ref="H20:H21"/>
    <mergeCell ref="A23:C23"/>
    <mergeCell ref="A24:H24"/>
    <mergeCell ref="A25:H25"/>
    <mergeCell ref="A26:H26"/>
    <mergeCell ref="A30:H31"/>
    <mergeCell ref="A6:C6"/>
    <mergeCell ref="D6:F6"/>
    <mergeCell ref="G6:H6"/>
    <mergeCell ref="A7:C7"/>
    <mergeCell ref="D7:E7"/>
    <mergeCell ref="F7:F8"/>
    <mergeCell ref="G7:G8"/>
    <mergeCell ref="H7:H8"/>
    <mergeCell ref="A16:B16"/>
    <mergeCell ref="C16:H16"/>
    <mergeCell ref="A17:B17"/>
    <mergeCell ref="C17:H17"/>
    <mergeCell ref="A19:C19"/>
    <mergeCell ref="D19:F19"/>
    <mergeCell ref="G19:H19"/>
    <mergeCell ref="A1:H1"/>
    <mergeCell ref="A2:H2"/>
    <mergeCell ref="A3:B3"/>
    <mergeCell ref="C3:H3"/>
    <mergeCell ref="A4:B4"/>
    <mergeCell ref="C4:H4"/>
  </mergeCells>
  <dataValidations count="1">
    <dataValidation type="list" allowBlank="1" showInputMessage="1" showErrorMessage="1" sqref="AN8:AN9">
      <formula1>$AN$8:$AN$9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'[5]AÇÕES ESTRATÉGICAS - DESCRIÇÃO '!#REF!</xm:f>
          </x14:formula1>
          <xm:sqref>C9 C22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30</vt:i4>
      </vt:variant>
      <vt:variant>
        <vt:lpstr>Intervalos nomeados</vt:lpstr>
      </vt:variant>
      <vt:variant>
        <vt:i4>5</vt:i4>
      </vt:variant>
    </vt:vector>
  </HeadingPairs>
  <TitlesOfParts>
    <vt:vector size="35" baseType="lpstr">
      <vt:lpstr>Orientações Iniciais</vt:lpstr>
      <vt:lpstr>Mapa Estratégico e ODS</vt:lpstr>
      <vt:lpstr>Indicadores e Metas</vt:lpstr>
      <vt:lpstr>Quadro Geral</vt:lpstr>
      <vt:lpstr>Anexo 1. Fontes e Aplicações</vt:lpstr>
      <vt:lpstr>Anexo 2. Limites Estratégicos</vt:lpstr>
      <vt:lpstr>Anexo 3. Elemento de Despesas</vt:lpstr>
      <vt:lpstr>CPFi</vt:lpstr>
      <vt:lpstr>COA</vt:lpstr>
      <vt:lpstr>CED</vt:lpstr>
      <vt:lpstr>CEF</vt:lpstr>
      <vt:lpstr>CEP</vt:lpstr>
      <vt:lpstr>CPUA</vt:lpstr>
      <vt:lpstr>CEAU</vt:lpstr>
      <vt:lpstr>CPC</vt:lpstr>
      <vt:lpstr>Presidência</vt:lpstr>
      <vt:lpstr>Gabinete da Presidência</vt:lpstr>
      <vt:lpstr>Secretaria Geral da Mesa</vt:lpstr>
      <vt:lpstr>Gerência Geral</vt:lpstr>
      <vt:lpstr>Gerência Administrativa</vt:lpstr>
      <vt:lpstr>Gerência de Fiscalização</vt:lpstr>
      <vt:lpstr>Gerência de Atendimento</vt:lpstr>
      <vt:lpstr>Gerência Financeira</vt:lpstr>
      <vt:lpstr>Gerência Jurídica</vt:lpstr>
      <vt:lpstr>Gerência de Planejamento</vt:lpstr>
      <vt:lpstr>Gerência de Comunicação</vt:lpstr>
      <vt:lpstr>Gerência Adm. e Financ.</vt:lpstr>
      <vt:lpstr>Validação de dados</vt:lpstr>
      <vt:lpstr>Diretrizes - Resumo</vt:lpstr>
      <vt:lpstr>Matriz de Obj. Estrat.</vt:lpstr>
      <vt:lpstr>'Anexo 1. Fontes e Aplicações'!Area_de_impressao</vt:lpstr>
      <vt:lpstr>'Indicadores e Metas'!Area_de_impressao</vt:lpstr>
      <vt:lpstr>'Mapa Estratégico e ODS'!Area_de_impressao</vt:lpstr>
      <vt:lpstr>'Matriz de Obj. Estrat.'!Area_de_impressao</vt:lpstr>
      <vt:lpstr>'Quadro Geral'!Area_de_impressao</vt:lpstr>
    </vt:vector>
  </TitlesOfParts>
  <Manager>Luiz Antonio Poletto</Manager>
  <Company>CAU/BR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Programação 2022</dc:subject>
  <dc:creator>GERPLAN-CAU/BR</dc:creator>
  <cp:lastModifiedBy>William Marchetti Gritti</cp:lastModifiedBy>
  <cp:lastPrinted>2019-08-16T19:30:06Z</cp:lastPrinted>
  <dcterms:created xsi:type="dcterms:W3CDTF">2013-07-30T15:20:59Z</dcterms:created>
  <dcterms:modified xsi:type="dcterms:W3CDTF">2021-11-23T18:59:14Z</dcterms:modified>
</cp:coreProperties>
</file>